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ODFIN\CONTABILIDADE\Demonstrações Contábeis e Notas Explicativas 2020\3º trimestre 2020\"/>
    </mc:Choice>
  </mc:AlternateContent>
  <bookViews>
    <workbookView xWindow="-120" yWindow="-120" windowWidth="20730" windowHeight="11160" firstSheet="3" activeTab="7"/>
  </bookViews>
  <sheets>
    <sheet name="Página1" sheetId="6" state="hidden" r:id="rId1"/>
    <sheet name="ACUMULADO 2019" sheetId="24" state="hidden" r:id="rId2"/>
    <sheet name="Página1 (3)" sheetId="33" state="hidden" r:id="rId3"/>
    <sheet name="ATIVO" sheetId="7" r:id="rId4"/>
    <sheet name="PASSIVO " sheetId="8" r:id="rId5"/>
    <sheet name="ACUM 2019" sheetId="10" state="hidden" r:id="rId6"/>
    <sheet name="DRE" sheetId="20" state="hidden" r:id="rId7"/>
    <sheet name="DRE REAPRESENTAÇÃO 2019" sheetId="19" r:id="rId8"/>
    <sheet name="DFC" sheetId="21" state="hidden" r:id="rId9"/>
    <sheet name="Página1 (2)" sheetId="27" state="hidden" r:id="rId10"/>
    <sheet name="ACUMULADO 2020" sheetId="23" state="hidden" r:id="rId11"/>
    <sheet name="DFC REAPRESENTAÇÃO 2019" sheetId="1" r:id="rId12"/>
    <sheet name="ACUM 2019 (2)" sheetId="13" state="hidden" r:id="rId13"/>
    <sheet name="DMPL20" sheetId="25" r:id="rId14"/>
    <sheet name="Plan1" sheetId="22" state="hidden" r:id="rId15"/>
    <sheet name="Plan2" sheetId="26" state="hidden" r:id="rId16"/>
    <sheet name="Plan3" sheetId="28" state="hidden" r:id="rId17"/>
    <sheet name="Plan4" sheetId="29" state="hidden" r:id="rId18"/>
    <sheet name="Plan5" sheetId="30" state="hidden" r:id="rId19"/>
    <sheet name="Plan6" sheetId="31" state="hidden" r:id="rId20"/>
    <sheet name="Plan7" sheetId="32" state="hidden" r:id="rId21"/>
    <sheet name="Plan8" sheetId="34" state="hidden" r:id="rId22"/>
    <sheet name="Plan9" sheetId="35" r:id="rId23"/>
  </sheets>
  <externalReferences>
    <externalReference r:id="rId24"/>
  </externalReferences>
  <definedNames>
    <definedName name="_xlnm._FilterDatabase" localSheetId="5" hidden="1">'ACUM 2019'!$A$1:$J$868</definedName>
    <definedName name="_xlnm._FilterDatabase" localSheetId="1" hidden="1">'ACUMULADO 2019'!$A$1:$K$913</definedName>
    <definedName name="_xlnm._FilterDatabase" localSheetId="10" hidden="1">'ACUMULADO 2020'!$A$1:$J$881</definedName>
    <definedName name="_xlnm._FilterDatabase" localSheetId="11" hidden="1">'DFC REAPRESENTAÇÃO 2019'!$M$46:$M$47</definedName>
    <definedName name="_xlnm._FilterDatabase" localSheetId="6" hidden="1">DRE!#REF!</definedName>
    <definedName name="_xlnm._FilterDatabase" localSheetId="7" hidden="1">'DRE REAPRESENTAÇÃO 2019'!#REF!</definedName>
    <definedName name="_xlnm._FilterDatabase" localSheetId="0" hidden="1">Página1!$A$1:$J$877</definedName>
    <definedName name="_xlnm._FilterDatabase" localSheetId="9" hidden="1">'Página1 (2)'!$A$1:$K$210</definedName>
    <definedName name="_xlnm._FilterDatabase" localSheetId="2" hidden="1">'Página1 (3)'!$A$1:$K$858</definedName>
    <definedName name="_xlnm._FilterDatabase" localSheetId="4" hidden="1">'PASSIVO '!$A$44:$A$44</definedName>
    <definedName name="_ftn1" localSheetId="13">DMPL20!#REF!</definedName>
    <definedName name="_ftnref1" localSheetId="13">DMPL20!#REF!</definedName>
    <definedName name="_xlnm.Print_Area" localSheetId="3">ATIVO!$A$1:$G$70</definedName>
    <definedName name="_xlnm.Print_Area" localSheetId="8">DFC!$A$6:$N$86</definedName>
    <definedName name="_xlnm.Print_Area" localSheetId="11">'DFC REAPRESENTAÇÃO 2019'!$A$1:$Q$90</definedName>
    <definedName name="_xlnm.Print_Area" localSheetId="13">DMPL20!$A$6:$K$77</definedName>
    <definedName name="_xlnm.Print_Area" localSheetId="6">DRE!$A$2:$L$55</definedName>
    <definedName name="_xlnm.Print_Area" localSheetId="7">'DRE REAPRESENTAÇÃO 2019'!$A$9:$M$57</definedName>
    <definedName name="_xlnm.Print_Area" localSheetId="4">'PASSIVO '!$A$8:$E$73</definedName>
    <definedName name="OLE_LINK1" localSheetId="15">Plan2!$T$95</definedName>
    <definedName name="_xlnm.Print_Titles" localSheetId="3">ATIVO!$1:$24</definedName>
    <definedName name="_xlnm.Print_Titles" localSheetId="4">'PASSIVO '!$1:$24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" i="28" l="1"/>
  <c r="G44" i="1"/>
  <c r="I48" i="25"/>
  <c r="G18" i="1"/>
  <c r="J33" i="19"/>
  <c r="J34" i="19"/>
  <c r="L33" i="19"/>
  <c r="L31" i="19" s="1"/>
  <c r="L34" i="19"/>
  <c r="L29" i="19"/>
  <c r="K848" i="33"/>
  <c r="K847" i="33"/>
  <c r="K846" i="33"/>
  <c r="K845" i="33"/>
  <c r="K844" i="33"/>
  <c r="K843" i="33"/>
  <c r="K842" i="33"/>
  <c r="K841" i="33"/>
  <c r="K840" i="33"/>
  <c r="K839" i="33"/>
  <c r="K838" i="33"/>
  <c r="K837" i="33"/>
  <c r="K836" i="33"/>
  <c r="K835" i="33"/>
  <c r="K834" i="33"/>
  <c r="K833" i="33"/>
  <c r="K832" i="33"/>
  <c r="K831" i="33"/>
  <c r="K830" i="33"/>
  <c r="K829" i="33"/>
  <c r="K828" i="33"/>
  <c r="K827" i="33"/>
  <c r="K826" i="33"/>
  <c r="K825" i="33"/>
  <c r="K824" i="33"/>
  <c r="K823" i="33"/>
  <c r="K822" i="33"/>
  <c r="K821" i="33"/>
  <c r="K820" i="33"/>
  <c r="K819" i="33"/>
  <c r="K818" i="33"/>
  <c r="K817" i="33"/>
  <c r="K816" i="33"/>
  <c r="K815" i="33"/>
  <c r="K814" i="33"/>
  <c r="K813" i="33"/>
  <c r="K812" i="33"/>
  <c r="K811" i="33"/>
  <c r="K810" i="33"/>
  <c r="K809" i="33"/>
  <c r="K808" i="33"/>
  <c r="K807" i="33"/>
  <c r="K806" i="33"/>
  <c r="K805" i="33"/>
  <c r="K804" i="33"/>
  <c r="K803" i="33"/>
  <c r="K802" i="33"/>
  <c r="K801" i="33"/>
  <c r="K800" i="33"/>
  <c r="K799" i="33"/>
  <c r="K798" i="33"/>
  <c r="K797" i="33"/>
  <c r="K796" i="33"/>
  <c r="K795" i="33"/>
  <c r="K794" i="33"/>
  <c r="K793" i="33"/>
  <c r="K792" i="33"/>
  <c r="K791" i="33"/>
  <c r="K790" i="33"/>
  <c r="K789" i="33"/>
  <c r="K788" i="33"/>
  <c r="K787" i="33"/>
  <c r="K786" i="33"/>
  <c r="K785" i="33"/>
  <c r="K784" i="33"/>
  <c r="K783" i="33"/>
  <c r="K782" i="33"/>
  <c r="K781" i="33"/>
  <c r="K780" i="33"/>
  <c r="K779" i="33"/>
  <c r="K778" i="33"/>
  <c r="K777" i="33"/>
  <c r="K776" i="33"/>
  <c r="K775" i="33"/>
  <c r="K774" i="33"/>
  <c r="K773" i="33"/>
  <c r="K772" i="33"/>
  <c r="K771" i="33"/>
  <c r="K770" i="33"/>
  <c r="K769" i="33"/>
  <c r="K768" i="33"/>
  <c r="K767" i="33"/>
  <c r="K766" i="33"/>
  <c r="K765" i="33"/>
  <c r="K764" i="33"/>
  <c r="K763" i="33"/>
  <c r="K762" i="33"/>
  <c r="K761" i="33"/>
  <c r="K760" i="33"/>
  <c r="K759" i="33"/>
  <c r="K758" i="33"/>
  <c r="K757" i="33"/>
  <c r="K756" i="33"/>
  <c r="K755" i="33"/>
  <c r="K754" i="33"/>
  <c r="K753" i="33"/>
  <c r="K752" i="33"/>
  <c r="K751" i="33"/>
  <c r="K750" i="33"/>
  <c r="K749" i="33"/>
  <c r="K748" i="33"/>
  <c r="K747" i="33"/>
  <c r="K746" i="33"/>
  <c r="K745" i="33"/>
  <c r="K744" i="33"/>
  <c r="K743" i="33"/>
  <c r="K742" i="33"/>
  <c r="K741" i="33"/>
  <c r="K740" i="33"/>
  <c r="K739" i="33"/>
  <c r="K738" i="33"/>
  <c r="K737" i="33"/>
  <c r="K736" i="33"/>
  <c r="K735" i="33"/>
  <c r="K734" i="33"/>
  <c r="K733" i="33"/>
  <c r="K732" i="33"/>
  <c r="K731" i="33"/>
  <c r="K730" i="33"/>
  <c r="K729" i="33"/>
  <c r="K728" i="33"/>
  <c r="K727" i="33"/>
  <c r="K726" i="33"/>
  <c r="K725" i="33"/>
  <c r="K724" i="33"/>
  <c r="K723" i="33"/>
  <c r="K722" i="33"/>
  <c r="K721" i="33"/>
  <c r="K720" i="33"/>
  <c r="K719" i="33"/>
  <c r="K718" i="33"/>
  <c r="K717" i="33"/>
  <c r="K716" i="33"/>
  <c r="K715" i="33"/>
  <c r="K714" i="33"/>
  <c r="K713" i="33"/>
  <c r="K712" i="33"/>
  <c r="K711" i="33"/>
  <c r="K710" i="33"/>
  <c r="K709" i="33"/>
  <c r="K708" i="33"/>
  <c r="K707" i="33"/>
  <c r="K706" i="33"/>
  <c r="K705" i="33"/>
  <c r="K704" i="33"/>
  <c r="K703" i="33"/>
  <c r="K702" i="33"/>
  <c r="K701" i="33"/>
  <c r="K700" i="33"/>
  <c r="K699" i="33"/>
  <c r="K698" i="33"/>
  <c r="K697" i="33"/>
  <c r="K696" i="33"/>
  <c r="K695" i="33"/>
  <c r="K694" i="33"/>
  <c r="K693" i="33"/>
  <c r="K692" i="33"/>
  <c r="K691" i="33"/>
  <c r="K690" i="33"/>
  <c r="K689" i="33"/>
  <c r="K688" i="33"/>
  <c r="K687" i="33"/>
  <c r="K686" i="33"/>
  <c r="K685" i="33"/>
  <c r="K684" i="33"/>
  <c r="K683" i="33"/>
  <c r="K682" i="33"/>
  <c r="K681" i="33"/>
  <c r="K680" i="33"/>
  <c r="K679" i="33"/>
  <c r="K678" i="33"/>
  <c r="K677" i="33"/>
  <c r="K676" i="33"/>
  <c r="K675" i="33"/>
  <c r="K674" i="33"/>
  <c r="K673" i="33"/>
  <c r="K672" i="33"/>
  <c r="K671" i="33"/>
  <c r="K670" i="33"/>
  <c r="K669" i="33"/>
  <c r="K668" i="33"/>
  <c r="K667" i="33"/>
  <c r="K666" i="33"/>
  <c r="K665" i="33"/>
  <c r="K664" i="33"/>
  <c r="K663" i="33"/>
  <c r="K662" i="33"/>
  <c r="K661" i="33"/>
  <c r="K660" i="33"/>
  <c r="K659" i="33"/>
  <c r="K658" i="33"/>
  <c r="K657" i="33"/>
  <c r="K656" i="33"/>
  <c r="K655" i="33"/>
  <c r="K654" i="33"/>
  <c r="K653" i="33"/>
  <c r="K652" i="33"/>
  <c r="K651" i="33"/>
  <c r="K650" i="33"/>
  <c r="K649" i="33"/>
  <c r="K648" i="33"/>
  <c r="K647" i="33"/>
  <c r="K646" i="33"/>
  <c r="K645" i="33"/>
  <c r="K644" i="33"/>
  <c r="K643" i="33"/>
  <c r="K642" i="33"/>
  <c r="K641" i="33"/>
  <c r="K640" i="33"/>
  <c r="K639" i="33"/>
  <c r="K638" i="33"/>
  <c r="K637" i="33"/>
  <c r="K636" i="33"/>
  <c r="K635" i="33"/>
  <c r="K634" i="33"/>
  <c r="K633" i="33"/>
  <c r="K632" i="33"/>
  <c r="K631" i="33"/>
  <c r="K630" i="33"/>
  <c r="K629" i="33"/>
  <c r="K628" i="33"/>
  <c r="K627" i="33"/>
  <c r="K626" i="33"/>
  <c r="K625" i="33"/>
  <c r="K624" i="33"/>
  <c r="K623" i="33"/>
  <c r="K622" i="33"/>
  <c r="K621" i="33"/>
  <c r="K620" i="33"/>
  <c r="K619" i="33"/>
  <c r="K618" i="33"/>
  <c r="K617" i="33"/>
  <c r="K616" i="33"/>
  <c r="K615" i="33"/>
  <c r="K614" i="33"/>
  <c r="K613" i="33"/>
  <c r="K612" i="33"/>
  <c r="K611" i="33"/>
  <c r="K610" i="33"/>
  <c r="K609" i="33"/>
  <c r="K608" i="33"/>
  <c r="K607" i="33"/>
  <c r="K606" i="33"/>
  <c r="K605" i="33"/>
  <c r="K604" i="33"/>
  <c r="K603" i="33"/>
  <c r="K602" i="33"/>
  <c r="K601" i="33"/>
  <c r="K600" i="33"/>
  <c r="K599" i="33"/>
  <c r="K598" i="33"/>
  <c r="K597" i="33"/>
  <c r="K596" i="33"/>
  <c r="K595" i="33"/>
  <c r="K594" i="33"/>
  <c r="K593" i="33"/>
  <c r="K592" i="33"/>
  <c r="K591" i="33"/>
  <c r="K590" i="33"/>
  <c r="K589" i="33"/>
  <c r="K588" i="33"/>
  <c r="K587" i="33"/>
  <c r="K586" i="33"/>
  <c r="K585" i="33"/>
  <c r="K584" i="33"/>
  <c r="K583" i="33"/>
  <c r="K582" i="33"/>
  <c r="K581" i="33"/>
  <c r="K580" i="33"/>
  <c r="K579" i="33"/>
  <c r="K578" i="33"/>
  <c r="K577" i="33"/>
  <c r="K576" i="33"/>
  <c r="K575" i="33"/>
  <c r="K574" i="33"/>
  <c r="K573" i="33"/>
  <c r="K572" i="33"/>
  <c r="K571" i="33"/>
  <c r="K570" i="33"/>
  <c r="K569" i="33"/>
  <c r="K568" i="33"/>
  <c r="K567" i="33"/>
  <c r="K566" i="33"/>
  <c r="K565" i="33"/>
  <c r="K564" i="33"/>
  <c r="K563" i="33"/>
  <c r="K562" i="33"/>
  <c r="K561" i="33"/>
  <c r="K560" i="33"/>
  <c r="K559" i="33"/>
  <c r="K558" i="33"/>
  <c r="K557" i="33"/>
  <c r="K556" i="33"/>
  <c r="K555" i="33"/>
  <c r="K554" i="33"/>
  <c r="K553" i="33"/>
  <c r="K552" i="33"/>
  <c r="K551" i="33"/>
  <c r="K550" i="33"/>
  <c r="K549" i="33"/>
  <c r="K548" i="33"/>
  <c r="K547" i="33"/>
  <c r="K546" i="33"/>
  <c r="K545" i="33"/>
  <c r="K544" i="33"/>
  <c r="K543" i="33"/>
  <c r="K542" i="33"/>
  <c r="K541" i="33"/>
  <c r="K540" i="33"/>
  <c r="K539" i="33"/>
  <c r="K538" i="33"/>
  <c r="K537" i="33"/>
  <c r="K536" i="33"/>
  <c r="K535" i="33"/>
  <c r="K534" i="33"/>
  <c r="K533" i="33"/>
  <c r="K532" i="33"/>
  <c r="K531" i="33"/>
  <c r="K530" i="33"/>
  <c r="K529" i="33"/>
  <c r="K528" i="33"/>
  <c r="K527" i="33"/>
  <c r="K526" i="33"/>
  <c r="K525" i="33"/>
  <c r="K524" i="33"/>
  <c r="K523" i="33"/>
  <c r="K522" i="33"/>
  <c r="K521" i="33"/>
  <c r="K520" i="33"/>
  <c r="K519" i="33"/>
  <c r="K518" i="33"/>
  <c r="K517" i="33"/>
  <c r="K516" i="33"/>
  <c r="K515" i="33"/>
  <c r="K514" i="33"/>
  <c r="K513" i="33"/>
  <c r="K512" i="33"/>
  <c r="K511" i="33"/>
  <c r="K510" i="33"/>
  <c r="K509" i="33"/>
  <c r="K508" i="33"/>
  <c r="K507" i="33"/>
  <c r="K506" i="33"/>
  <c r="K505" i="33"/>
  <c r="K504" i="33"/>
  <c r="K503" i="33"/>
  <c r="K502" i="33"/>
  <c r="K501" i="33"/>
  <c r="K500" i="33"/>
  <c r="K499" i="33"/>
  <c r="K498" i="33"/>
  <c r="K497" i="33"/>
  <c r="K496" i="33"/>
  <c r="K495" i="33"/>
  <c r="K494" i="33"/>
  <c r="K493" i="33"/>
  <c r="K492" i="33"/>
  <c r="K491" i="33"/>
  <c r="K490" i="33"/>
  <c r="K489" i="33"/>
  <c r="K488" i="33"/>
  <c r="K487" i="33"/>
  <c r="K486" i="33"/>
  <c r="K485" i="33"/>
  <c r="K484" i="33"/>
  <c r="K483" i="33"/>
  <c r="K482" i="33"/>
  <c r="K481" i="33"/>
  <c r="K480" i="33"/>
  <c r="K479" i="33"/>
  <c r="K478" i="33"/>
  <c r="K477" i="33"/>
  <c r="K476" i="33"/>
  <c r="K475" i="33"/>
  <c r="K474" i="33"/>
  <c r="K473" i="33"/>
  <c r="K472" i="33"/>
  <c r="K471" i="33"/>
  <c r="K470" i="33"/>
  <c r="K469" i="33"/>
  <c r="K468" i="33"/>
  <c r="K467" i="33"/>
  <c r="K466" i="33"/>
  <c r="K465" i="33"/>
  <c r="K464" i="33"/>
  <c r="K463" i="33"/>
  <c r="K462" i="33"/>
  <c r="K461" i="33"/>
  <c r="K460" i="33"/>
  <c r="K459" i="33"/>
  <c r="K458" i="33"/>
  <c r="K457" i="33"/>
  <c r="K456" i="33"/>
  <c r="K455" i="33"/>
  <c r="K454" i="33"/>
  <c r="K453" i="33"/>
  <c r="K452" i="33"/>
  <c r="K451" i="33"/>
  <c r="K450" i="33"/>
  <c r="K449" i="33"/>
  <c r="K448" i="33"/>
  <c r="K447" i="33"/>
  <c r="K446" i="33"/>
  <c r="K445" i="33"/>
  <c r="K444" i="33"/>
  <c r="K443" i="33"/>
  <c r="K442" i="33"/>
  <c r="K441" i="33"/>
  <c r="K440" i="33"/>
  <c r="K439" i="33"/>
  <c r="K438" i="33"/>
  <c r="K437" i="33"/>
  <c r="K436" i="33"/>
  <c r="K435" i="33"/>
  <c r="K434" i="33"/>
  <c r="K433" i="33"/>
  <c r="K432" i="33"/>
  <c r="K431" i="33"/>
  <c r="K430" i="33"/>
  <c r="K429" i="33"/>
  <c r="K428" i="33"/>
  <c r="K427" i="33"/>
  <c r="K426" i="33"/>
  <c r="K425" i="33"/>
  <c r="K424" i="33"/>
  <c r="K423" i="33"/>
  <c r="K422" i="33"/>
  <c r="K421" i="33"/>
  <c r="K420" i="33"/>
  <c r="K419" i="33"/>
  <c r="K418" i="33"/>
  <c r="K417" i="33"/>
  <c r="K416" i="33"/>
  <c r="K415" i="33"/>
  <c r="K414" i="33"/>
  <c r="K413" i="33"/>
  <c r="K412" i="33"/>
  <c r="K411" i="33"/>
  <c r="K410" i="33"/>
  <c r="K409" i="33"/>
  <c r="K408" i="33"/>
  <c r="K407" i="33"/>
  <c r="K406" i="33"/>
  <c r="K405" i="33"/>
  <c r="K404" i="33"/>
  <c r="K403" i="33"/>
  <c r="K402" i="33"/>
  <c r="K401" i="33"/>
  <c r="K400" i="33"/>
  <c r="K399" i="33"/>
  <c r="K398" i="33"/>
  <c r="K397" i="33"/>
  <c r="K396" i="33"/>
  <c r="K395" i="33"/>
  <c r="K394" i="33"/>
  <c r="K393" i="33"/>
  <c r="K392" i="33"/>
  <c r="K391" i="33"/>
  <c r="K390" i="33"/>
  <c r="K389" i="33"/>
  <c r="K388" i="33"/>
  <c r="K387" i="33"/>
  <c r="K386" i="33"/>
  <c r="K385" i="33"/>
  <c r="K384" i="33"/>
  <c r="K383" i="33"/>
  <c r="K382" i="33"/>
  <c r="K381" i="33"/>
  <c r="K380" i="33"/>
  <c r="K379" i="33"/>
  <c r="K378" i="33"/>
  <c r="K377" i="33"/>
  <c r="K376" i="33"/>
  <c r="K375" i="33"/>
  <c r="K374" i="33"/>
  <c r="K373" i="33"/>
  <c r="K372" i="33"/>
  <c r="K371" i="33"/>
  <c r="K370" i="33"/>
  <c r="K369" i="33"/>
  <c r="K368" i="33"/>
  <c r="K367" i="33"/>
  <c r="K366" i="33"/>
  <c r="K365" i="33"/>
  <c r="K364" i="33"/>
  <c r="K363" i="33"/>
  <c r="K362" i="33"/>
  <c r="K361" i="33"/>
  <c r="K360" i="33"/>
  <c r="K359" i="33"/>
  <c r="K358" i="33"/>
  <c r="K357" i="33"/>
  <c r="K356" i="33"/>
  <c r="K355" i="33"/>
  <c r="K354" i="33"/>
  <c r="K353" i="33"/>
  <c r="K352" i="33"/>
  <c r="K351" i="33"/>
  <c r="K350" i="33"/>
  <c r="K349" i="33"/>
  <c r="K348" i="33"/>
  <c r="K347" i="33"/>
  <c r="K346" i="33"/>
  <c r="K345" i="33"/>
  <c r="K344" i="33"/>
  <c r="K343" i="33"/>
  <c r="K342" i="33"/>
  <c r="K341" i="33"/>
  <c r="K340" i="33"/>
  <c r="K339" i="33"/>
  <c r="K338" i="33"/>
  <c r="K337" i="33"/>
  <c r="K336" i="33"/>
  <c r="K335" i="33"/>
  <c r="K334" i="33"/>
  <c r="K333" i="33"/>
  <c r="K332" i="33"/>
  <c r="K331" i="33"/>
  <c r="K330" i="33"/>
  <c r="K329" i="33"/>
  <c r="K328" i="33"/>
  <c r="K327" i="33"/>
  <c r="K326" i="33"/>
  <c r="K325" i="33"/>
  <c r="K324" i="33"/>
  <c r="K323" i="33"/>
  <c r="K322" i="33"/>
  <c r="K321" i="33"/>
  <c r="K320" i="33"/>
  <c r="K319" i="33"/>
  <c r="K318" i="33"/>
  <c r="K317" i="33"/>
  <c r="K316" i="33"/>
  <c r="K315" i="33"/>
  <c r="K314" i="33"/>
  <c r="K313" i="33"/>
  <c r="K312" i="33"/>
  <c r="K311" i="33"/>
  <c r="K310" i="33"/>
  <c r="K309" i="33"/>
  <c r="K308" i="33"/>
  <c r="K307" i="33"/>
  <c r="K306" i="33"/>
  <c r="K305" i="33"/>
  <c r="K304" i="33"/>
  <c r="K303" i="33"/>
  <c r="K302" i="33"/>
  <c r="K301" i="33"/>
  <c r="K300" i="33"/>
  <c r="K299" i="33"/>
  <c r="K298" i="33"/>
  <c r="K297" i="33"/>
  <c r="K296" i="33"/>
  <c r="K295" i="33"/>
  <c r="K294" i="33"/>
  <c r="K293" i="33"/>
  <c r="K292" i="33"/>
  <c r="K291" i="33"/>
  <c r="K290" i="33"/>
  <c r="K289" i="33"/>
  <c r="K288" i="33"/>
  <c r="K287" i="33"/>
  <c r="K286" i="33"/>
  <c r="K285" i="33"/>
  <c r="K284" i="33"/>
  <c r="K283" i="33"/>
  <c r="K282" i="33"/>
  <c r="K281" i="33"/>
  <c r="K280" i="33"/>
  <c r="K279" i="33"/>
  <c r="K278" i="33"/>
  <c r="K277" i="33"/>
  <c r="K276" i="33"/>
  <c r="K275" i="33"/>
  <c r="K274" i="33"/>
  <c r="K273" i="33"/>
  <c r="K272" i="33"/>
  <c r="K271" i="33"/>
  <c r="K270" i="33"/>
  <c r="K269" i="33"/>
  <c r="K268" i="33"/>
  <c r="K267" i="33"/>
  <c r="K266" i="33"/>
  <c r="K265" i="33"/>
  <c r="K264" i="33"/>
  <c r="K263" i="33"/>
  <c r="K262" i="33"/>
  <c r="K261" i="33"/>
  <c r="K260" i="33"/>
  <c r="K259" i="33"/>
  <c r="K258" i="33"/>
  <c r="K257" i="33"/>
  <c r="K256" i="33"/>
  <c r="K255" i="33"/>
  <c r="K254" i="33"/>
  <c r="K253" i="33"/>
  <c r="K252" i="33"/>
  <c r="K251" i="33"/>
  <c r="K250" i="33"/>
  <c r="K249" i="33"/>
  <c r="K248" i="33"/>
  <c r="K247" i="33"/>
  <c r="K246" i="33"/>
  <c r="K245" i="33"/>
  <c r="K244" i="33"/>
  <c r="K243" i="33"/>
  <c r="K242" i="33"/>
  <c r="K241" i="33"/>
  <c r="K240" i="33"/>
  <c r="K239" i="33"/>
  <c r="K238" i="33"/>
  <c r="K237" i="33"/>
  <c r="K236" i="33"/>
  <c r="K235" i="33"/>
  <c r="K234" i="33"/>
  <c r="K233" i="33"/>
  <c r="K232" i="33"/>
  <c r="K231" i="33"/>
  <c r="K230" i="33"/>
  <c r="K229" i="33"/>
  <c r="K228" i="33"/>
  <c r="K227" i="33"/>
  <c r="K226" i="33"/>
  <c r="K225" i="33"/>
  <c r="K224" i="33"/>
  <c r="K223" i="33"/>
  <c r="K222" i="33"/>
  <c r="K221" i="33"/>
  <c r="K220" i="33"/>
  <c r="K219" i="33"/>
  <c r="K218" i="33"/>
  <c r="K217" i="33"/>
  <c r="K216" i="33"/>
  <c r="K215" i="33"/>
  <c r="K214" i="33"/>
  <c r="K213" i="33"/>
  <c r="K212" i="33"/>
  <c r="K211" i="33"/>
  <c r="K210" i="33"/>
  <c r="K209" i="33"/>
  <c r="K208" i="33"/>
  <c r="K207" i="33"/>
  <c r="K206" i="33"/>
  <c r="K205" i="33"/>
  <c r="K204" i="33"/>
  <c r="K203" i="33"/>
  <c r="K202" i="33"/>
  <c r="K201" i="33"/>
  <c r="K200" i="33"/>
  <c r="K199" i="33"/>
  <c r="K198" i="33"/>
  <c r="K197" i="33"/>
  <c r="K196" i="33"/>
  <c r="K195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7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3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4" i="33"/>
  <c r="K3" i="33"/>
  <c r="K2" i="33"/>
  <c r="Q71" i="1"/>
  <c r="E29" i="32"/>
  <c r="H65" i="29"/>
  <c r="D40" i="29"/>
  <c r="F40" i="29" s="1"/>
  <c r="G33" i="20"/>
  <c r="G32" i="20"/>
  <c r="Q23" i="32"/>
  <c r="H40" i="29"/>
  <c r="K33" i="20"/>
  <c r="K32" i="20"/>
  <c r="P33" i="20"/>
  <c r="P32" i="20"/>
  <c r="P28" i="20"/>
  <c r="O33" i="20"/>
  <c r="O32" i="20"/>
  <c r="J143" i="29"/>
  <c r="J142" i="29"/>
  <c r="J141" i="29"/>
  <c r="I145" i="29"/>
  <c r="J144" i="29"/>
  <c r="J140" i="29"/>
  <c r="E145" i="29"/>
  <c r="D145" i="29"/>
  <c r="F144" i="29"/>
  <c r="F142" i="29"/>
  <c r="L38" i="19" l="1"/>
  <c r="L44" i="19" s="1"/>
  <c r="L53" i="19" s="1"/>
  <c r="Q61" i="1"/>
  <c r="Q80" i="1"/>
  <c r="Q46" i="1"/>
  <c r="Q39" i="1"/>
  <c r="Q29" i="1"/>
  <c r="Q20" i="1"/>
  <c r="P30" i="20"/>
  <c r="P37" i="20" s="1"/>
  <c r="P43" i="20" s="1"/>
  <c r="P52" i="20" s="1"/>
  <c r="F141" i="29"/>
  <c r="H145" i="29"/>
  <c r="I132" i="29"/>
  <c r="H132" i="29"/>
  <c r="E132" i="29"/>
  <c r="D132" i="29"/>
  <c r="F140" i="29" s="1"/>
  <c r="J131" i="29"/>
  <c r="J130" i="29"/>
  <c r="F130" i="29"/>
  <c r="J129" i="29"/>
  <c r="J128" i="29"/>
  <c r="F128" i="29"/>
  <c r="J127" i="29"/>
  <c r="F127" i="29"/>
  <c r="J126" i="29"/>
  <c r="F126" i="29"/>
  <c r="J125" i="29"/>
  <c r="F125" i="29"/>
  <c r="F116" i="28"/>
  <c r="F117" i="28"/>
  <c r="F118" i="28"/>
  <c r="F119" i="28"/>
  <c r="F120" i="28"/>
  <c r="F115" i="28"/>
  <c r="I122" i="28"/>
  <c r="H122" i="28"/>
  <c r="E122" i="28"/>
  <c r="D122" i="28"/>
  <c r="J121" i="28"/>
  <c r="J120" i="28"/>
  <c r="J119" i="28"/>
  <c r="J118" i="28"/>
  <c r="J117" i="28"/>
  <c r="J115" i="28"/>
  <c r="V127" i="28"/>
  <c r="W127" i="28"/>
  <c r="X127" i="28"/>
  <c r="Y127" i="28"/>
  <c r="V128" i="28"/>
  <c r="W128" i="28"/>
  <c r="X128" i="28"/>
  <c r="Y128" i="28"/>
  <c r="V129" i="28"/>
  <c r="W129" i="28"/>
  <c r="X129" i="28"/>
  <c r="Y129" i="28"/>
  <c r="V130" i="28"/>
  <c r="W130" i="28"/>
  <c r="X130" i="28"/>
  <c r="Y130" i="28"/>
  <c r="V131" i="28"/>
  <c r="W131" i="28"/>
  <c r="X131" i="28"/>
  <c r="Y131" i="28"/>
  <c r="V132" i="28"/>
  <c r="W132" i="28"/>
  <c r="X132" i="28"/>
  <c r="Y132" i="28"/>
  <c r="V133" i="28"/>
  <c r="W133" i="28"/>
  <c r="X133" i="28"/>
  <c r="Y133" i="28"/>
  <c r="J116" i="28"/>
  <c r="AC112" i="29"/>
  <c r="AC111" i="29"/>
  <c r="AC110" i="29"/>
  <c r="AC109" i="29"/>
  <c r="AC108" i="29"/>
  <c r="AC107" i="29"/>
  <c r="H56" i="29"/>
  <c r="F122" i="28" l="1"/>
  <c r="Q16" i="1"/>
  <c r="J145" i="29"/>
  <c r="F145" i="29"/>
  <c r="J132" i="29"/>
  <c r="F132" i="29"/>
  <c r="J122" i="28"/>
  <c r="M34" i="20"/>
  <c r="M33" i="20"/>
  <c r="I33" i="20"/>
  <c r="J72" i="29"/>
  <c r="F72" i="29"/>
  <c r="I67" i="29"/>
  <c r="H67" i="29"/>
  <c r="E67" i="29"/>
  <c r="D67" i="29"/>
  <c r="J63" i="29"/>
  <c r="J62" i="29"/>
  <c r="F63" i="29"/>
  <c r="F64" i="29"/>
  <c r="J64" i="29"/>
  <c r="F62" i="29"/>
  <c r="J92" i="29"/>
  <c r="K92" i="29"/>
  <c r="L92" i="29"/>
  <c r="J91" i="29"/>
  <c r="K91" i="29"/>
  <c r="L91" i="29"/>
  <c r="J90" i="29"/>
  <c r="K90" i="29"/>
  <c r="L90" i="29"/>
  <c r="J89" i="29"/>
  <c r="K89" i="29"/>
  <c r="L89" i="29"/>
  <c r="J88" i="29"/>
  <c r="K88" i="29"/>
  <c r="L88" i="29"/>
  <c r="I92" i="29"/>
  <c r="I89" i="29"/>
  <c r="I90" i="29"/>
  <c r="I91" i="29"/>
  <c r="I88" i="29"/>
  <c r="J86" i="29"/>
  <c r="K86" i="29"/>
  <c r="L86" i="29"/>
  <c r="I86" i="29"/>
  <c r="P37" i="31"/>
  <c r="P38" i="31"/>
  <c r="P39" i="31"/>
  <c r="P40" i="31"/>
  <c r="P41" i="31"/>
  <c r="P42" i="31"/>
  <c r="O37" i="31"/>
  <c r="O38" i="31"/>
  <c r="O39" i="31"/>
  <c r="O40" i="31"/>
  <c r="O41" i="31"/>
  <c r="O42" i="31"/>
  <c r="N37" i="31"/>
  <c r="N38" i="31"/>
  <c r="N39" i="31"/>
  <c r="N40" i="31"/>
  <c r="N41" i="31"/>
  <c r="N42" i="31"/>
  <c r="N36" i="31"/>
  <c r="O36" i="31"/>
  <c r="P36" i="31"/>
  <c r="M37" i="31"/>
  <c r="M38" i="31"/>
  <c r="M39" i="31"/>
  <c r="M40" i="31"/>
  <c r="M41" i="31"/>
  <c r="M42" i="31"/>
  <c r="M36" i="31"/>
  <c r="J56" i="29"/>
  <c r="F56" i="29"/>
  <c r="J55" i="29"/>
  <c r="F55" i="29"/>
  <c r="J54" i="29"/>
  <c r="F54" i="29"/>
  <c r="J53" i="29"/>
  <c r="F53" i="29"/>
  <c r="J44" i="29"/>
  <c r="F44" i="29"/>
  <c r="J43" i="29"/>
  <c r="F43" i="29"/>
  <c r="J42" i="29"/>
  <c r="F42" i="29"/>
  <c r="J41" i="29"/>
  <c r="F41" i="29"/>
  <c r="J40" i="29"/>
  <c r="J26" i="29"/>
  <c r="F26" i="29"/>
  <c r="J25" i="29"/>
  <c r="F25" i="29"/>
  <c r="J24" i="29"/>
  <c r="F24" i="29"/>
  <c r="J23" i="29"/>
  <c r="F23" i="29"/>
  <c r="J22" i="29"/>
  <c r="F22" i="29"/>
  <c r="J9" i="29"/>
  <c r="F9" i="29"/>
  <c r="J8" i="29"/>
  <c r="F8" i="29"/>
  <c r="J7" i="29"/>
  <c r="F7" i="29"/>
  <c r="J6" i="29"/>
  <c r="F6" i="29"/>
  <c r="J5" i="29"/>
  <c r="F5" i="29"/>
  <c r="J4" i="29"/>
  <c r="F4" i="29"/>
  <c r="J3" i="29"/>
  <c r="F3" i="29"/>
  <c r="I58" i="29"/>
  <c r="I70" i="29" s="1"/>
  <c r="H58" i="29"/>
  <c r="H70" i="29" s="1"/>
  <c r="E58" i="29"/>
  <c r="D58" i="29"/>
  <c r="I45" i="29"/>
  <c r="H45" i="29"/>
  <c r="E45" i="29"/>
  <c r="D45" i="29"/>
  <c r="D27" i="29"/>
  <c r="Q22" i="29"/>
  <c r="I27" i="29"/>
  <c r="H27" i="29"/>
  <c r="E27" i="29"/>
  <c r="I10" i="29"/>
  <c r="H10" i="29"/>
  <c r="E10" i="29"/>
  <c r="D10" i="29"/>
  <c r="I105" i="28"/>
  <c r="H105" i="28"/>
  <c r="E105" i="28"/>
  <c r="D105" i="28"/>
  <c r="J104" i="28"/>
  <c r="F104" i="28"/>
  <c r="J103" i="28"/>
  <c r="F103" i="28"/>
  <c r="J102" i="28"/>
  <c r="F102" i="28"/>
  <c r="J101" i="28"/>
  <c r="F101" i="28"/>
  <c r="J100" i="28"/>
  <c r="F100" i="28"/>
  <c r="J99" i="28"/>
  <c r="F99" i="28"/>
  <c r="J98" i="28"/>
  <c r="F98" i="28"/>
  <c r="D70" i="29" l="1"/>
  <c r="E70" i="29"/>
  <c r="Q85" i="1"/>
  <c r="J105" i="28"/>
  <c r="F105" i="28"/>
  <c r="J45" i="29"/>
  <c r="F45" i="29"/>
  <c r="J27" i="29"/>
  <c r="F67" i="29"/>
  <c r="F27" i="29"/>
  <c r="F10" i="29"/>
  <c r="J67" i="29"/>
  <c r="J10" i="29"/>
  <c r="J58" i="29"/>
  <c r="F58" i="29"/>
  <c r="C59" i="28" l="1"/>
  <c r="C67" i="28" s="1"/>
  <c r="C51" i="28"/>
  <c r="E51" i="28"/>
  <c r="C32" i="28"/>
  <c r="C10" i="28"/>
  <c r="E40" i="28"/>
  <c r="C40" i="28"/>
  <c r="C18" i="28"/>
  <c r="E32" i="28"/>
  <c r="E18" i="28"/>
  <c r="E10" i="28"/>
  <c r="M179" i="26" l="1"/>
  <c r="M189" i="26"/>
  <c r="M211" i="26"/>
  <c r="M227" i="26"/>
  <c r="M231" i="26" s="1"/>
  <c r="M230" i="26"/>
  <c r="O272" i="26"/>
  <c r="O211" i="26"/>
  <c r="Q171" i="26"/>
  <c r="Q170" i="26"/>
  <c r="O189" i="26"/>
  <c r="T151" i="26"/>
  <c r="T152" i="26" s="1"/>
  <c r="T150" i="26"/>
  <c r="C30" i="8"/>
  <c r="Q172" i="26" l="1"/>
  <c r="Q100" i="26"/>
  <c r="O100" i="26"/>
  <c r="I104" i="26"/>
  <c r="I105" i="26"/>
  <c r="I106" i="26"/>
  <c r="I107" i="26"/>
  <c r="I109" i="26"/>
  <c r="I110" i="26"/>
  <c r="I111" i="26"/>
  <c r="I112" i="26"/>
  <c r="I113" i="26"/>
  <c r="I114" i="26"/>
  <c r="I115" i="26"/>
  <c r="I116" i="26"/>
  <c r="I117" i="26"/>
  <c r="I118" i="26"/>
  <c r="I103" i="26"/>
  <c r="G119" i="26"/>
  <c r="F117" i="26"/>
  <c r="F119" i="26" s="1"/>
  <c r="D108" i="26"/>
  <c r="I108" i="26" s="1"/>
  <c r="C119" i="26"/>
  <c r="O22" i="1"/>
  <c r="O112" i="27"/>
  <c r="O83" i="1"/>
  <c r="O82" i="1"/>
  <c r="D119" i="26" l="1"/>
  <c r="I119" i="26"/>
  <c r="L4" i="27"/>
  <c r="L8" i="27"/>
  <c r="L20" i="27"/>
  <c r="L24" i="27"/>
  <c r="L36" i="27"/>
  <c r="O35" i="1" s="1"/>
  <c r="L40" i="27"/>
  <c r="O36" i="1" s="1"/>
  <c r="L52" i="27"/>
  <c r="L56" i="27"/>
  <c r="L68" i="27"/>
  <c r="L72" i="27"/>
  <c r="L84" i="27"/>
  <c r="L88" i="27"/>
  <c r="O50" i="1" s="1"/>
  <c r="L100" i="27"/>
  <c r="L104" i="27"/>
  <c r="L116" i="27"/>
  <c r="O43" i="1" s="1"/>
  <c r="L120" i="27"/>
  <c r="L132" i="27"/>
  <c r="L136" i="27"/>
  <c r="L148" i="27"/>
  <c r="L152" i="27"/>
  <c r="L164" i="27"/>
  <c r="L168" i="27"/>
  <c r="L180" i="27"/>
  <c r="L184" i="27"/>
  <c r="K194" i="27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K183" i="27"/>
  <c r="L183" i="27" s="1"/>
  <c r="K182" i="27"/>
  <c r="L182" i="27" s="1"/>
  <c r="K181" i="27"/>
  <c r="L181" i="27" s="1"/>
  <c r="K180" i="27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K167" i="27"/>
  <c r="L167" i="27" s="1"/>
  <c r="K166" i="27"/>
  <c r="L166" i="27" s="1"/>
  <c r="K165" i="27"/>
  <c r="L165" i="27" s="1"/>
  <c r="K164" i="27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K151" i="27"/>
  <c r="L151" i="27" s="1"/>
  <c r="K150" i="27"/>
  <c r="L150" i="27" s="1"/>
  <c r="K149" i="27"/>
  <c r="L149" i="27" s="1"/>
  <c r="K148" i="27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K135" i="27"/>
  <c r="L135" i="27" s="1"/>
  <c r="K134" i="27"/>
  <c r="L134" i="27" s="1"/>
  <c r="K133" i="27"/>
  <c r="L133" i="27" s="1"/>
  <c r="K132" i="27"/>
  <c r="K131" i="27"/>
  <c r="L131" i="27" s="1"/>
  <c r="O74" i="1" s="1"/>
  <c r="O71" i="1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K119" i="27"/>
  <c r="L119" i="27" s="1"/>
  <c r="O44" i="1" s="1"/>
  <c r="K118" i="27"/>
  <c r="L118" i="27" s="1"/>
  <c r="K117" i="27"/>
  <c r="L117" i="27" s="1"/>
  <c r="K116" i="27"/>
  <c r="K115" i="27"/>
  <c r="L115" i="27" s="1"/>
  <c r="K114" i="27"/>
  <c r="L114" i="27" s="1"/>
  <c r="K113" i="27"/>
  <c r="L113" i="27" s="1"/>
  <c r="O42" i="1" s="1"/>
  <c r="K112" i="27"/>
  <c r="L112" i="27" s="1"/>
  <c r="K111" i="27"/>
  <c r="L111" i="27" s="1"/>
  <c r="K110" i="27"/>
  <c r="L110" i="27" s="1"/>
  <c r="K109" i="27"/>
  <c r="L109" i="27" s="1"/>
  <c r="O52" i="1" s="1"/>
  <c r="K108" i="27"/>
  <c r="L108" i="27" s="1"/>
  <c r="K107" i="27"/>
  <c r="L107" i="27" s="1"/>
  <c r="K106" i="27"/>
  <c r="L106" i="27" s="1"/>
  <c r="K105" i="27"/>
  <c r="L105" i="27" s="1"/>
  <c r="O55" i="1" s="1"/>
  <c r="K104" i="27"/>
  <c r="K103" i="27"/>
  <c r="L103" i="27" s="1"/>
  <c r="K102" i="27"/>
  <c r="L102" i="27" s="1"/>
  <c r="O54" i="1" s="1"/>
  <c r="K101" i="27"/>
  <c r="L101" i="27" s="1"/>
  <c r="K100" i="27"/>
  <c r="K99" i="27"/>
  <c r="L99" i="27" s="1"/>
  <c r="K98" i="27"/>
  <c r="L98" i="27" s="1"/>
  <c r="K97" i="27"/>
  <c r="L97" i="27" s="1"/>
  <c r="K96" i="27"/>
  <c r="L96" i="27" s="1"/>
  <c r="K95" i="27"/>
  <c r="L95" i="27" s="1"/>
  <c r="O49" i="1" s="1"/>
  <c r="K94" i="27"/>
  <c r="L94" i="27" s="1"/>
  <c r="K93" i="27"/>
  <c r="L93" i="27" s="1"/>
  <c r="K92" i="27"/>
  <c r="L92" i="27" s="1"/>
  <c r="K91" i="27"/>
  <c r="L91" i="27" s="1"/>
  <c r="O51" i="1" s="1"/>
  <c r="K90" i="27"/>
  <c r="L90" i="27" s="1"/>
  <c r="K89" i="27"/>
  <c r="L89" i="27" s="1"/>
  <c r="K88" i="27"/>
  <c r="K87" i="27"/>
  <c r="L87" i="27" s="1"/>
  <c r="K86" i="27"/>
  <c r="L86" i="27" s="1"/>
  <c r="K85" i="27"/>
  <c r="L85" i="27" s="1"/>
  <c r="O48" i="1" s="1"/>
  <c r="K84" i="27"/>
  <c r="K83" i="27"/>
  <c r="L83" i="27" s="1"/>
  <c r="K82" i="27"/>
  <c r="L82" i="27" s="1"/>
  <c r="O47" i="1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K71" i="27"/>
  <c r="L71" i="27" s="1"/>
  <c r="K70" i="27"/>
  <c r="L70" i="27" s="1"/>
  <c r="K69" i="27"/>
  <c r="L69" i="27" s="1"/>
  <c r="K68" i="27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O64" i="1" s="1"/>
  <c r="O61" i="1" s="1"/>
  <c r="K56" i="27"/>
  <c r="K55" i="27"/>
  <c r="L55" i="27" s="1"/>
  <c r="K54" i="27"/>
  <c r="L54" i="27" s="1"/>
  <c r="K53" i="27"/>
  <c r="L53" i="27" s="1"/>
  <c r="K52" i="27"/>
  <c r="K51" i="27"/>
  <c r="L51" i="27" s="1"/>
  <c r="K50" i="27"/>
  <c r="L50" i="27" s="1"/>
  <c r="K49" i="27"/>
  <c r="L49" i="27" s="1"/>
  <c r="K48" i="27"/>
  <c r="L48" i="27" s="1"/>
  <c r="K47" i="27"/>
  <c r="L47" i="27" s="1"/>
  <c r="O40" i="1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K39" i="27"/>
  <c r="L39" i="27" s="1"/>
  <c r="K38" i="27"/>
  <c r="L38" i="27" s="1"/>
  <c r="K37" i="27"/>
  <c r="L37" i="27" s="1"/>
  <c r="K36" i="27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O34" i="1" s="1"/>
  <c r="K29" i="27"/>
  <c r="L29" i="27" s="1"/>
  <c r="K28" i="27"/>
  <c r="L28" i="27" s="1"/>
  <c r="O32" i="1" s="1"/>
  <c r="K27" i="27"/>
  <c r="L27" i="27" s="1"/>
  <c r="O33" i="1" s="1"/>
  <c r="K26" i="27"/>
  <c r="L26" i="27" s="1"/>
  <c r="K25" i="27"/>
  <c r="L25" i="27" s="1"/>
  <c r="K24" i="27"/>
  <c r="K23" i="27"/>
  <c r="L23" i="27" s="1"/>
  <c r="O31" i="1" s="1"/>
  <c r="K22" i="27"/>
  <c r="L22" i="27" s="1"/>
  <c r="K21" i="27"/>
  <c r="L21" i="27" s="1"/>
  <c r="O37" i="1" s="1"/>
  <c r="K20" i="27"/>
  <c r="K19" i="27"/>
  <c r="L19" i="27" s="1"/>
  <c r="K18" i="27"/>
  <c r="L18" i="27" s="1"/>
  <c r="O30" i="1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K7" i="27"/>
  <c r="L7" i="27" s="1"/>
  <c r="K6" i="27"/>
  <c r="L6" i="27" s="1"/>
  <c r="K5" i="27"/>
  <c r="L5" i="27" s="1"/>
  <c r="K4" i="27"/>
  <c r="K3" i="27"/>
  <c r="L3" i="27" s="1"/>
  <c r="K2" i="27"/>
  <c r="L2" i="27" s="1"/>
  <c r="O20" i="1"/>
  <c r="O18" i="1"/>
  <c r="O80" i="1"/>
  <c r="O46" i="1" l="1"/>
  <c r="O39" i="1"/>
  <c r="O29" i="1"/>
  <c r="O47" i="26"/>
  <c r="Q24" i="26"/>
  <c r="O24" i="26"/>
  <c r="Q5" i="26"/>
  <c r="Q4" i="26"/>
  <c r="O4" i="26"/>
  <c r="O6" i="26" s="1"/>
  <c r="I14" i="26"/>
  <c r="I13" i="26"/>
  <c r="G13" i="26"/>
  <c r="G18" i="26" s="1"/>
  <c r="J71" i="25"/>
  <c r="J70" i="25"/>
  <c r="J69" i="25"/>
  <c r="J68" i="25"/>
  <c r="J67" i="25"/>
  <c r="J65" i="25"/>
  <c r="J64" i="25"/>
  <c r="J63" i="25"/>
  <c r="I62" i="25"/>
  <c r="J62" i="25" s="1"/>
  <c r="J61" i="25"/>
  <c r="J59" i="25"/>
  <c r="J58" i="25"/>
  <c r="J57" i="25"/>
  <c r="I56" i="25"/>
  <c r="J56" i="25" s="1"/>
  <c r="J55" i="25"/>
  <c r="O16" i="1" l="1"/>
  <c r="O85" i="1" s="1"/>
  <c r="I18" i="26"/>
  <c r="Q6" i="26"/>
  <c r="J53" i="25" l="1"/>
  <c r="I52" i="25"/>
  <c r="J52" i="25" s="1"/>
  <c r="J51" i="25"/>
  <c r="J50" i="25"/>
  <c r="J49" i="25"/>
  <c r="J48" i="25"/>
  <c r="J47" i="25"/>
  <c r="J45" i="25"/>
  <c r="J44" i="25"/>
  <c r="J43" i="25"/>
  <c r="J42" i="25"/>
  <c r="J41" i="25"/>
  <c r="J40" i="25"/>
  <c r="J39" i="25"/>
  <c r="J37" i="25"/>
  <c r="J36" i="25"/>
  <c r="I34" i="25"/>
  <c r="J34" i="25" s="1"/>
  <c r="I33" i="25"/>
  <c r="E33" i="25"/>
  <c r="D33" i="25"/>
  <c r="I32" i="25"/>
  <c r="H32" i="25"/>
  <c r="H38" i="25" s="1"/>
  <c r="H46" i="25" s="1"/>
  <c r="G32" i="25"/>
  <c r="E32" i="25"/>
  <c r="D32" i="25"/>
  <c r="J31" i="25"/>
  <c r="F30" i="25"/>
  <c r="F32" i="25" s="1"/>
  <c r="F38" i="25" s="1"/>
  <c r="F46" i="25" s="1"/>
  <c r="J29" i="25"/>
  <c r="J28" i="25"/>
  <c r="J27" i="25"/>
  <c r="J26" i="25"/>
  <c r="D38" i="25" l="1"/>
  <c r="D46" i="25" s="1"/>
  <c r="D54" i="25" s="1"/>
  <c r="D60" i="25" s="1"/>
  <c r="D66" i="25" s="1"/>
  <c r="D72" i="25" s="1"/>
  <c r="E38" i="25"/>
  <c r="E46" i="25" s="1"/>
  <c r="J33" i="25"/>
  <c r="F54" i="25"/>
  <c r="F60" i="25" s="1"/>
  <c r="F66" i="25" s="1"/>
  <c r="F72" i="25" s="1"/>
  <c r="H54" i="25"/>
  <c r="H60" i="25" s="1"/>
  <c r="H66" i="25" s="1"/>
  <c r="H72" i="25" s="1"/>
  <c r="I38" i="25"/>
  <c r="I46" i="25" s="1"/>
  <c r="G35" i="25"/>
  <c r="J35" i="25" s="1"/>
  <c r="J30" i="25"/>
  <c r="J32" i="25" s="1"/>
  <c r="E54" i="25" l="1"/>
  <c r="E60" i="25" s="1"/>
  <c r="E66" i="25" s="1"/>
  <c r="E72" i="25" s="1"/>
  <c r="J38" i="25"/>
  <c r="J46" i="25" s="1"/>
  <c r="J54" i="25" s="1"/>
  <c r="J60" i="25" s="1"/>
  <c r="J66" i="25" s="1"/>
  <c r="J72" i="25" s="1"/>
  <c r="G38" i="25"/>
  <c r="G46" i="25" s="1"/>
  <c r="G54" i="25" s="1"/>
  <c r="G60" i="25" s="1"/>
  <c r="G66" i="25" s="1"/>
  <c r="G72" i="25" s="1"/>
  <c r="I54" i="25"/>
  <c r="I60" i="25" s="1"/>
  <c r="I66" i="25" s="1"/>
  <c r="I72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E64" i="8"/>
  <c r="E61" i="8"/>
  <c r="E59" i="8"/>
  <c r="E50" i="8"/>
  <c r="E47" i="8"/>
  <c r="E46" i="8"/>
  <c r="E40" i="8"/>
  <c r="E39" i="8"/>
  <c r="E38" i="8"/>
  <c r="E37" i="8"/>
  <c r="E32" i="8"/>
  <c r="E30" i="8" s="1"/>
  <c r="E29" i="8"/>
  <c r="E28" i="8"/>
  <c r="G58" i="7"/>
  <c r="G54" i="7"/>
  <c r="G53" i="7"/>
  <c r="G46" i="7"/>
  <c r="G44" i="7"/>
  <c r="G42" i="7"/>
  <c r="G39" i="7"/>
  <c r="G38" i="7"/>
  <c r="G37" i="7"/>
  <c r="G36" i="7"/>
  <c r="G30" i="7"/>
  <c r="G29" i="7"/>
  <c r="O37" i="20" l="1"/>
  <c r="O43" i="20" s="1"/>
  <c r="O52" i="20" s="1"/>
  <c r="E53" i="8"/>
  <c r="M28" i="20"/>
  <c r="M37" i="20" s="1"/>
  <c r="M43" i="20" s="1"/>
  <c r="M52" i="20" s="1"/>
  <c r="G33" i="7"/>
  <c r="I28" i="20"/>
  <c r="I30" i="20"/>
  <c r="E26" i="8"/>
  <c r="E44" i="8"/>
  <c r="E42" i="8" s="1"/>
  <c r="G51" i="7"/>
  <c r="G49" i="7" s="1"/>
  <c r="G27" i="7"/>
  <c r="G25" i="7" l="1"/>
  <c r="G67" i="7" s="1"/>
  <c r="E68" i="8"/>
  <c r="I37" i="20"/>
  <c r="I43" i="20" s="1"/>
  <c r="I52" i="20" s="1"/>
  <c r="M83" i="1"/>
  <c r="M82" i="1"/>
  <c r="M74" i="1"/>
  <c r="M66" i="1"/>
  <c r="M64" i="1"/>
  <c r="M48" i="1"/>
  <c r="M55" i="1"/>
  <c r="M52" i="1"/>
  <c r="M51" i="1"/>
  <c r="M50" i="1"/>
  <c r="M49" i="1"/>
  <c r="M47" i="1"/>
  <c r="M43" i="1"/>
  <c r="M42" i="1"/>
  <c r="M41" i="1"/>
  <c r="M40" i="1"/>
  <c r="M29" i="1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306" i="24"/>
  <c r="K307" i="24"/>
  <c r="K308" i="24"/>
  <c r="K309" i="24"/>
  <c r="K310" i="24"/>
  <c r="K311" i="24"/>
  <c r="K312" i="24"/>
  <c r="K313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7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0" i="24"/>
  <c r="K371" i="24"/>
  <c r="K372" i="24"/>
  <c r="K373" i="24"/>
  <c r="K374" i="24"/>
  <c r="K375" i="24"/>
  <c r="K376" i="24"/>
  <c r="K377" i="24"/>
  <c r="K378" i="24"/>
  <c r="K379" i="24"/>
  <c r="K380" i="24"/>
  <c r="K381" i="24"/>
  <c r="K382" i="24"/>
  <c r="K383" i="24"/>
  <c r="K384" i="24"/>
  <c r="K385" i="24"/>
  <c r="K386" i="24"/>
  <c r="K387" i="24"/>
  <c r="K388" i="24"/>
  <c r="K389" i="24"/>
  <c r="K390" i="24"/>
  <c r="K391" i="24"/>
  <c r="K392" i="24"/>
  <c r="K393" i="24"/>
  <c r="K394" i="24"/>
  <c r="K395" i="24"/>
  <c r="K396" i="24"/>
  <c r="K397" i="24"/>
  <c r="K398" i="24"/>
  <c r="K399" i="24"/>
  <c r="K400" i="24"/>
  <c r="K401" i="24"/>
  <c r="K402" i="24"/>
  <c r="K403" i="24"/>
  <c r="K404" i="24"/>
  <c r="K405" i="24"/>
  <c r="K406" i="24"/>
  <c r="K407" i="24"/>
  <c r="K408" i="24"/>
  <c r="K409" i="24"/>
  <c r="K410" i="24"/>
  <c r="K411" i="24"/>
  <c r="K412" i="24"/>
  <c r="K413" i="24"/>
  <c r="K414" i="24"/>
  <c r="K415" i="24"/>
  <c r="K416" i="24"/>
  <c r="K417" i="24"/>
  <c r="K418" i="24"/>
  <c r="K419" i="24"/>
  <c r="K420" i="24"/>
  <c r="K421" i="24"/>
  <c r="K422" i="24"/>
  <c r="K423" i="24"/>
  <c r="K424" i="24"/>
  <c r="K425" i="24"/>
  <c r="K426" i="24"/>
  <c r="K427" i="24"/>
  <c r="K428" i="24"/>
  <c r="K429" i="24"/>
  <c r="K430" i="24"/>
  <c r="K431" i="24"/>
  <c r="K432" i="24"/>
  <c r="K433" i="24"/>
  <c r="K434" i="24"/>
  <c r="K435" i="24"/>
  <c r="K436" i="24"/>
  <c r="K437" i="24"/>
  <c r="K438" i="24"/>
  <c r="K439" i="24"/>
  <c r="K440" i="24"/>
  <c r="K441" i="24"/>
  <c r="K442" i="24"/>
  <c r="K443" i="24"/>
  <c r="K444" i="24"/>
  <c r="K445" i="24"/>
  <c r="K446" i="24"/>
  <c r="K447" i="24"/>
  <c r="K448" i="24"/>
  <c r="K449" i="24"/>
  <c r="K450" i="24"/>
  <c r="K451" i="24"/>
  <c r="K452" i="24"/>
  <c r="K453" i="24"/>
  <c r="K454" i="24"/>
  <c r="K455" i="24"/>
  <c r="K456" i="24"/>
  <c r="K457" i="24"/>
  <c r="K458" i="24"/>
  <c r="K459" i="24"/>
  <c r="K460" i="24"/>
  <c r="K461" i="24"/>
  <c r="K462" i="24"/>
  <c r="K463" i="24"/>
  <c r="K464" i="24"/>
  <c r="K465" i="24"/>
  <c r="K466" i="24"/>
  <c r="K467" i="24"/>
  <c r="K468" i="24"/>
  <c r="K469" i="24"/>
  <c r="K470" i="24"/>
  <c r="K471" i="24"/>
  <c r="K472" i="24"/>
  <c r="K473" i="24"/>
  <c r="K474" i="24"/>
  <c r="K475" i="24"/>
  <c r="K476" i="24"/>
  <c r="K477" i="24"/>
  <c r="K478" i="24"/>
  <c r="K479" i="24"/>
  <c r="K480" i="24"/>
  <c r="K481" i="24"/>
  <c r="K482" i="24"/>
  <c r="K483" i="24"/>
  <c r="K484" i="24"/>
  <c r="K485" i="24"/>
  <c r="K486" i="24"/>
  <c r="K487" i="24"/>
  <c r="K488" i="24"/>
  <c r="K489" i="24"/>
  <c r="K490" i="24"/>
  <c r="K491" i="24"/>
  <c r="K492" i="24"/>
  <c r="K493" i="24"/>
  <c r="K494" i="24"/>
  <c r="K495" i="24"/>
  <c r="K496" i="24"/>
  <c r="K497" i="24"/>
  <c r="K498" i="24"/>
  <c r="K499" i="24"/>
  <c r="K500" i="24"/>
  <c r="K501" i="24"/>
  <c r="K502" i="24"/>
  <c r="K503" i="24"/>
  <c r="K504" i="24"/>
  <c r="K505" i="24"/>
  <c r="K506" i="24"/>
  <c r="K507" i="24"/>
  <c r="K508" i="24"/>
  <c r="K509" i="24"/>
  <c r="K510" i="24"/>
  <c r="K511" i="24"/>
  <c r="K512" i="24"/>
  <c r="K513" i="24"/>
  <c r="K514" i="24"/>
  <c r="K515" i="24"/>
  <c r="K516" i="24"/>
  <c r="K517" i="24"/>
  <c r="K518" i="24"/>
  <c r="K519" i="24"/>
  <c r="K520" i="24"/>
  <c r="K521" i="24"/>
  <c r="K522" i="24"/>
  <c r="K523" i="24"/>
  <c r="K524" i="24"/>
  <c r="K525" i="24"/>
  <c r="K526" i="24"/>
  <c r="K527" i="24"/>
  <c r="K528" i="24"/>
  <c r="K529" i="24"/>
  <c r="K530" i="24"/>
  <c r="K531" i="24"/>
  <c r="K532" i="24"/>
  <c r="K533" i="24"/>
  <c r="K534" i="24"/>
  <c r="K535" i="24"/>
  <c r="K536" i="24"/>
  <c r="K537" i="24"/>
  <c r="K538" i="24"/>
  <c r="K539" i="24"/>
  <c r="K540" i="24"/>
  <c r="K541" i="24"/>
  <c r="K542" i="24"/>
  <c r="K543" i="24"/>
  <c r="K544" i="24"/>
  <c r="K545" i="24"/>
  <c r="K546" i="24"/>
  <c r="K547" i="24"/>
  <c r="K548" i="24"/>
  <c r="K549" i="24"/>
  <c r="K550" i="24"/>
  <c r="K551" i="24"/>
  <c r="K552" i="24"/>
  <c r="K553" i="24"/>
  <c r="K554" i="24"/>
  <c r="K555" i="24"/>
  <c r="K556" i="24"/>
  <c r="K557" i="24"/>
  <c r="K558" i="24"/>
  <c r="K559" i="24"/>
  <c r="K560" i="24"/>
  <c r="K561" i="24"/>
  <c r="K562" i="24"/>
  <c r="K563" i="24"/>
  <c r="K564" i="24"/>
  <c r="K565" i="24"/>
  <c r="K566" i="24"/>
  <c r="K567" i="24"/>
  <c r="K568" i="24"/>
  <c r="K569" i="24"/>
  <c r="K570" i="24"/>
  <c r="K571" i="24"/>
  <c r="K572" i="24"/>
  <c r="K573" i="24"/>
  <c r="K574" i="24"/>
  <c r="K575" i="24"/>
  <c r="K576" i="24"/>
  <c r="K577" i="24"/>
  <c r="K578" i="24"/>
  <c r="K579" i="24"/>
  <c r="K580" i="24"/>
  <c r="K581" i="24"/>
  <c r="K582" i="24"/>
  <c r="K583" i="24"/>
  <c r="K584" i="24"/>
  <c r="K585" i="24"/>
  <c r="K586" i="24"/>
  <c r="K587" i="24"/>
  <c r="K588" i="24"/>
  <c r="K589" i="24"/>
  <c r="K590" i="24"/>
  <c r="K591" i="24"/>
  <c r="K592" i="24"/>
  <c r="K593" i="24"/>
  <c r="K594" i="24"/>
  <c r="K595" i="24"/>
  <c r="K596" i="24"/>
  <c r="K597" i="24"/>
  <c r="K598" i="24"/>
  <c r="K599" i="24"/>
  <c r="K600" i="24"/>
  <c r="K601" i="24"/>
  <c r="K602" i="24"/>
  <c r="K603" i="24"/>
  <c r="K604" i="24"/>
  <c r="K605" i="24"/>
  <c r="K606" i="24"/>
  <c r="K607" i="24"/>
  <c r="K608" i="24"/>
  <c r="K609" i="24"/>
  <c r="K610" i="24"/>
  <c r="K611" i="24"/>
  <c r="K612" i="24"/>
  <c r="K613" i="24"/>
  <c r="K614" i="24"/>
  <c r="K615" i="24"/>
  <c r="K616" i="24"/>
  <c r="K617" i="24"/>
  <c r="K618" i="24"/>
  <c r="K619" i="24"/>
  <c r="K620" i="24"/>
  <c r="K621" i="24"/>
  <c r="K622" i="24"/>
  <c r="K623" i="24"/>
  <c r="K624" i="24"/>
  <c r="K625" i="24"/>
  <c r="K626" i="24"/>
  <c r="K627" i="24"/>
  <c r="K628" i="24"/>
  <c r="K629" i="24"/>
  <c r="K630" i="24"/>
  <c r="K631" i="24"/>
  <c r="K632" i="24"/>
  <c r="K633" i="24"/>
  <c r="K634" i="24"/>
  <c r="K635" i="24"/>
  <c r="K636" i="24"/>
  <c r="K637" i="24"/>
  <c r="K638" i="24"/>
  <c r="K639" i="24"/>
  <c r="K640" i="24"/>
  <c r="K641" i="24"/>
  <c r="K642" i="24"/>
  <c r="K643" i="24"/>
  <c r="K644" i="24"/>
  <c r="K645" i="24"/>
  <c r="K646" i="24"/>
  <c r="K647" i="24"/>
  <c r="K648" i="24"/>
  <c r="K649" i="24"/>
  <c r="K650" i="24"/>
  <c r="K651" i="24"/>
  <c r="K652" i="24"/>
  <c r="K653" i="24"/>
  <c r="K654" i="24"/>
  <c r="K655" i="24"/>
  <c r="K656" i="24"/>
  <c r="K657" i="24"/>
  <c r="K658" i="24"/>
  <c r="K659" i="24"/>
  <c r="K660" i="24"/>
  <c r="K661" i="24"/>
  <c r="K662" i="24"/>
  <c r="K663" i="24"/>
  <c r="K664" i="24"/>
  <c r="K665" i="24"/>
  <c r="K666" i="24"/>
  <c r="K667" i="24"/>
  <c r="K668" i="24"/>
  <c r="K669" i="24"/>
  <c r="K670" i="24"/>
  <c r="K671" i="24"/>
  <c r="K672" i="24"/>
  <c r="K673" i="24"/>
  <c r="K674" i="24"/>
  <c r="K675" i="24"/>
  <c r="K676" i="24"/>
  <c r="K677" i="24"/>
  <c r="K678" i="24"/>
  <c r="K679" i="24"/>
  <c r="K680" i="24"/>
  <c r="K681" i="24"/>
  <c r="K682" i="24"/>
  <c r="K683" i="24"/>
  <c r="K684" i="24"/>
  <c r="K685" i="24"/>
  <c r="K686" i="24"/>
  <c r="K687" i="24"/>
  <c r="K688" i="24"/>
  <c r="K689" i="24"/>
  <c r="K690" i="24"/>
  <c r="K691" i="24"/>
  <c r="K692" i="24"/>
  <c r="K693" i="24"/>
  <c r="K694" i="24"/>
  <c r="K695" i="24"/>
  <c r="K696" i="24"/>
  <c r="K697" i="24"/>
  <c r="K698" i="24"/>
  <c r="K699" i="24"/>
  <c r="K700" i="24"/>
  <c r="K701" i="24"/>
  <c r="K702" i="24"/>
  <c r="K703" i="24"/>
  <c r="K704" i="24"/>
  <c r="K705" i="24"/>
  <c r="K706" i="24"/>
  <c r="K707" i="24"/>
  <c r="K708" i="24"/>
  <c r="K709" i="24"/>
  <c r="K710" i="24"/>
  <c r="K711" i="24"/>
  <c r="K712" i="24"/>
  <c r="K713" i="24"/>
  <c r="K714" i="24"/>
  <c r="K715" i="24"/>
  <c r="K716" i="24"/>
  <c r="K717" i="24"/>
  <c r="K718" i="24"/>
  <c r="K719" i="24"/>
  <c r="K720" i="24"/>
  <c r="K721" i="24"/>
  <c r="K722" i="24"/>
  <c r="K723" i="24"/>
  <c r="K724" i="24"/>
  <c r="K725" i="24"/>
  <c r="K726" i="24"/>
  <c r="K727" i="24"/>
  <c r="K728" i="24"/>
  <c r="K729" i="24"/>
  <c r="K730" i="24"/>
  <c r="K731" i="24"/>
  <c r="K732" i="24"/>
  <c r="K733" i="24"/>
  <c r="K734" i="24"/>
  <c r="K735" i="24"/>
  <c r="K736" i="24"/>
  <c r="K737" i="24"/>
  <c r="K738" i="24"/>
  <c r="K739" i="24"/>
  <c r="K740" i="24"/>
  <c r="K741" i="24"/>
  <c r="K742" i="24"/>
  <c r="K743" i="24"/>
  <c r="K744" i="24"/>
  <c r="K745" i="24"/>
  <c r="K746" i="24"/>
  <c r="K747" i="24"/>
  <c r="K748" i="24"/>
  <c r="K749" i="24"/>
  <c r="K750" i="24"/>
  <c r="K751" i="24"/>
  <c r="K752" i="24"/>
  <c r="K753" i="24"/>
  <c r="K754" i="24"/>
  <c r="K755" i="24"/>
  <c r="K756" i="24"/>
  <c r="K757" i="24"/>
  <c r="K758" i="24"/>
  <c r="K759" i="24"/>
  <c r="K760" i="24"/>
  <c r="K761" i="24"/>
  <c r="K762" i="24"/>
  <c r="K763" i="24"/>
  <c r="K764" i="24"/>
  <c r="K765" i="24"/>
  <c r="K766" i="24"/>
  <c r="K767" i="24"/>
  <c r="K768" i="24"/>
  <c r="K769" i="24"/>
  <c r="K770" i="24"/>
  <c r="K771" i="24"/>
  <c r="K772" i="24"/>
  <c r="K773" i="24"/>
  <c r="K774" i="24"/>
  <c r="K775" i="24"/>
  <c r="K776" i="24"/>
  <c r="K777" i="24"/>
  <c r="K778" i="24"/>
  <c r="K779" i="24"/>
  <c r="K780" i="24"/>
  <c r="K781" i="24"/>
  <c r="K782" i="24"/>
  <c r="K783" i="24"/>
  <c r="K784" i="24"/>
  <c r="K785" i="24"/>
  <c r="K786" i="24"/>
  <c r="K787" i="24"/>
  <c r="K788" i="24"/>
  <c r="K789" i="24"/>
  <c r="K790" i="24"/>
  <c r="K791" i="24"/>
  <c r="K792" i="24"/>
  <c r="K793" i="24"/>
  <c r="K794" i="24"/>
  <c r="K795" i="24"/>
  <c r="K796" i="24"/>
  <c r="K797" i="24"/>
  <c r="K798" i="24"/>
  <c r="K799" i="24"/>
  <c r="K800" i="24"/>
  <c r="K801" i="24"/>
  <c r="K802" i="24"/>
  <c r="K803" i="24"/>
  <c r="K804" i="24"/>
  <c r="K805" i="24"/>
  <c r="K806" i="24"/>
  <c r="K807" i="24"/>
  <c r="K808" i="24"/>
  <c r="K809" i="24"/>
  <c r="K810" i="24"/>
  <c r="K811" i="24"/>
  <c r="K812" i="24"/>
  <c r="K813" i="24"/>
  <c r="K814" i="24"/>
  <c r="K815" i="24"/>
  <c r="K816" i="24"/>
  <c r="K817" i="24"/>
  <c r="K818" i="24"/>
  <c r="K819" i="24"/>
  <c r="K820" i="24"/>
  <c r="K821" i="24"/>
  <c r="K822" i="24"/>
  <c r="K823" i="24"/>
  <c r="K824" i="24"/>
  <c r="K825" i="24"/>
  <c r="K826" i="24"/>
  <c r="K827" i="24"/>
  <c r="K828" i="24"/>
  <c r="K829" i="24"/>
  <c r="K830" i="24"/>
  <c r="K831" i="24"/>
  <c r="K832" i="24"/>
  <c r="K833" i="24"/>
  <c r="K834" i="24"/>
  <c r="K835" i="24"/>
  <c r="K836" i="24"/>
  <c r="K837" i="24"/>
  <c r="K838" i="24"/>
  <c r="K839" i="24"/>
  <c r="K840" i="24"/>
  <c r="K841" i="24"/>
  <c r="K842" i="24"/>
  <c r="K843" i="24"/>
  <c r="K844" i="24"/>
  <c r="K845" i="24"/>
  <c r="K846" i="24"/>
  <c r="K847" i="24"/>
  <c r="K848" i="24"/>
  <c r="K849" i="24"/>
  <c r="K850" i="24"/>
  <c r="K851" i="24"/>
  <c r="K852" i="24"/>
  <c r="K853" i="24"/>
  <c r="K854" i="24"/>
  <c r="K855" i="24"/>
  <c r="K856" i="24"/>
  <c r="K857" i="24"/>
  <c r="K858" i="24"/>
  <c r="K859" i="24"/>
  <c r="K860" i="24"/>
  <c r="K861" i="24"/>
  <c r="K862" i="24"/>
  <c r="K863" i="24"/>
  <c r="K864" i="24"/>
  <c r="K865" i="24"/>
  <c r="K866" i="24"/>
  <c r="K867" i="24"/>
  <c r="K868" i="24"/>
  <c r="K869" i="24"/>
  <c r="K870" i="24"/>
  <c r="K871" i="24"/>
  <c r="K872" i="24"/>
  <c r="K873" i="24"/>
  <c r="K874" i="24"/>
  <c r="K875" i="24"/>
  <c r="K876" i="24"/>
  <c r="K877" i="24"/>
  <c r="K878" i="24"/>
  <c r="K879" i="24"/>
  <c r="K880" i="24"/>
  <c r="K881" i="24"/>
  <c r="K882" i="24"/>
  <c r="K883" i="24"/>
  <c r="K884" i="24"/>
  <c r="K885" i="24"/>
  <c r="K886" i="24"/>
  <c r="K887" i="24"/>
  <c r="K888" i="24"/>
  <c r="K889" i="24"/>
  <c r="K890" i="24"/>
  <c r="K891" i="24"/>
  <c r="K892" i="24"/>
  <c r="K893" i="24"/>
  <c r="K894" i="24"/>
  <c r="K895" i="24"/>
  <c r="K896" i="24"/>
  <c r="K897" i="24"/>
  <c r="K898" i="24"/>
  <c r="K899" i="24"/>
  <c r="K900" i="24"/>
  <c r="K901" i="24"/>
  <c r="K902" i="24"/>
  <c r="K903" i="24"/>
  <c r="K904" i="24"/>
  <c r="K905" i="24"/>
  <c r="K906" i="24"/>
  <c r="K907" i="24"/>
  <c r="K6" i="24"/>
  <c r="G37" i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L830" i="23" s="1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752" i="23" l="1"/>
  <c r="L669" i="23"/>
  <c r="M46" i="1"/>
  <c r="E29" i="7" l="1"/>
  <c r="M80" i="1"/>
  <c r="M39" i="1"/>
  <c r="M20" i="1"/>
  <c r="M71" i="1"/>
  <c r="N76" i="2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H16" i="21" s="1"/>
  <c r="E39" i="21"/>
  <c r="C39" i="21"/>
  <c r="C37" i="21"/>
  <c r="N29" i="21"/>
  <c r="N16" i="21" s="1"/>
  <c r="K29" i="21"/>
  <c r="H29" i="21"/>
  <c r="E29" i="21"/>
  <c r="C29" i="21"/>
  <c r="C16" i="21" s="1"/>
  <c r="N20" i="21"/>
  <c r="K20" i="21"/>
  <c r="H20" i="21"/>
  <c r="E20" i="21"/>
  <c r="E16" i="21" s="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K16" i="21" l="1"/>
  <c r="K81" i="21"/>
  <c r="C30" i="20"/>
  <c r="C81" i="21"/>
  <c r="N81" i="21"/>
  <c r="H81" i="21"/>
  <c r="E37" i="20"/>
  <c r="E43" i="20" s="1"/>
  <c r="E52" i="20" s="1"/>
  <c r="C28" i="20"/>
  <c r="C37" i="20" s="1"/>
  <c r="C43" i="20" s="1"/>
  <c r="C52" i="20" s="1"/>
  <c r="E81" i="21"/>
  <c r="K37" i="20"/>
  <c r="K43" i="20" s="1"/>
  <c r="K52" i="20" s="1"/>
  <c r="C40" i="19" l="1"/>
  <c r="C34" i="19"/>
  <c r="J31" i="19"/>
  <c r="C33" i="19"/>
  <c r="E31" i="19"/>
  <c r="J29" i="19"/>
  <c r="C27" i="19"/>
  <c r="E25" i="19"/>
  <c r="E29" i="19" s="1"/>
  <c r="C25" i="19"/>
  <c r="C29" i="19" l="1"/>
  <c r="C31" i="19"/>
  <c r="E38" i="19"/>
  <c r="E44" i="19" s="1"/>
  <c r="E53" i="19" s="1"/>
  <c r="J38" i="19"/>
  <c r="J44" i="19" s="1"/>
  <c r="C44" i="8"/>
  <c r="C53" i="8"/>
  <c r="J53" i="19" l="1"/>
  <c r="C38" i="19"/>
  <c r="C44" i="19" s="1"/>
  <c r="C53" i="19" s="1"/>
  <c r="G80" i="1" l="1"/>
  <c r="G71" i="1"/>
  <c r="M61" i="1"/>
  <c r="G61" i="1"/>
  <c r="G46" i="1"/>
  <c r="G39" i="1"/>
  <c r="G29" i="1"/>
  <c r="G20" i="1"/>
  <c r="C64" i="8"/>
  <c r="C26" i="8"/>
  <c r="C42" i="8"/>
  <c r="E51" i="7"/>
  <c r="E27" i="7"/>
  <c r="E33" i="7"/>
  <c r="M16" i="1" l="1"/>
  <c r="G16" i="1"/>
  <c r="G85" i="1" s="1"/>
  <c r="C68" i="8"/>
  <c r="E49" i="7"/>
  <c r="E25" i="7"/>
  <c r="K652" i="10"/>
  <c r="K651" i="10"/>
  <c r="K653" i="10" s="1"/>
  <c r="K672" i="10"/>
  <c r="K671" i="10"/>
  <c r="K666" i="10"/>
  <c r="K663" i="10"/>
  <c r="K660" i="10" s="1"/>
  <c r="K673" i="10" l="1"/>
  <c r="M85" i="1"/>
  <c r="E67" i="7"/>
  <c r="L16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2" i="6"/>
  <c r="L813" i="6" l="1"/>
  <c r="C80" i="1"/>
  <c r="C71" i="1"/>
  <c r="C61" i="1"/>
  <c r="C37" i="1"/>
  <c r="C29" i="1" l="1"/>
  <c r="C39" i="1"/>
  <c r="C20" i="1"/>
  <c r="C46" i="1"/>
  <c r="C16" i="1" l="1"/>
  <c r="C85" i="1" s="1"/>
  <c r="G30" i="20"/>
  <c r="G37" i="20" s="1"/>
  <c r="G43" i="20" s="1"/>
  <c r="G52" i="20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<sst xmlns="http://schemas.openxmlformats.org/spreadsheetml/2006/main" count="10725" uniqueCount="2110">
  <si>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</si>
  <si>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</si>
  <si>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</si>
  <si>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</si>
  <si>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</si>
  <si>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</si>
  <si>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</si>
  <si>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</si>
  <si>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</si>
  <si>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</si>
  <si>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</si>
  <si>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</si>
  <si>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</si>
  <si>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</si>
  <si>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</si>
  <si>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</si>
  <si>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</si>
  <si>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</si>
  <si>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</si>
  <si>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</si>
  <si>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</si>
  <si>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</si>
  <si>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</si>
  <si>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</si>
  <si>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</si>
  <si>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</si>
  <si>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</si>
  <si>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</si>
  <si>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</si>
  <si>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</si>
  <si>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</si>
  <si>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</si>
  <si>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</si>
  <si>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</si>
  <si>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</si>
  <si>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</si>
  <si>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</si>
  <si>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</si>
  <si>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</si>
  <si>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</si>
  <si>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</si>
  <si>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</si>
  <si>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</si>
  <si>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</si>
  <si>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</si>
  <si>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</si>
  <si>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</si>
  <si>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</si>
  <si>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</si>
  <si>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</si>
  <si>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</si>
  <si>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</si>
  <si>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</si>
  <si>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</si>
  <si>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</si>
  <si>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</si>
  <si>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</si>
  <si>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</si>
  <si>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</si>
  <si>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</si>
  <si>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</si>
  <si>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</si>
  <si>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</si>
  <si>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</si>
  <si>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</si>
  <si>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</si>
  <si>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</si>
  <si>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</si>
  <si>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</si>
  <si>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</si>
  <si>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</si>
  <si>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</si>
  <si>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</si>
  <si>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</si>
  <si>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</si>
  <si>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</si>
  <si>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</si>
  <si>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</si>
  <si>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</si>
  <si>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</si>
  <si>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</si>
  <si>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</si>
  <si>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</si>
  <si>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</si>
  <si>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</si>
  <si>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</si>
  <si>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</si>
  <si>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</si>
  <si>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</si>
  <si>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</si>
  <si>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</si>
  <si>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</si>
  <si>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</si>
  <si>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</si>
  <si>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</si>
  <si>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</si>
  <si>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</si>
  <si>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</si>
  <si>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</si>
  <si>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</si>
  <si>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</si>
  <si>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</si>
  <si>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</si>
  <si>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</si>
  <si>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</si>
  <si>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</si>
  <si>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</si>
  <si>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</si>
  <si>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</si>
  <si>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</si>
  <si>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</si>
  <si>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</si>
  <si>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</si>
  <si>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</si>
  <si>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</si>
  <si>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</si>
  <si>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</si>
  <si>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</si>
  <si>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</si>
  <si>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</si>
  <si>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</si>
  <si>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</si>
  <si>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</si>
  <si>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</si>
  <si>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</si>
  <si>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</si>
  <si>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</si>
  <si>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</si>
  <si>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</si>
  <si>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</si>
  <si>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</si>
  <si>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</si>
  <si>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</si>
  <si>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</si>
  <si>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</si>
  <si>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</si>
  <si>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</si>
  <si>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</si>
  <si>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</si>
  <si>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</si>
  <si>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</si>
  <si>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</si>
  <si>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</si>
  <si>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</si>
  <si>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</si>
  <si>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</si>
  <si>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</si>
  <si>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</si>
  <si>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</si>
  <si>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</si>
  <si>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</si>
  <si>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</si>
  <si>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</si>
  <si>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</si>
  <si>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</si>
  <si>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</si>
  <si>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</si>
  <si>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</si>
  <si>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</si>
  <si>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</si>
  <si>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</si>
  <si>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</si>
  <si>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</si>
  <si>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</si>
  <si>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</si>
  <si>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</si>
  <si>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</si>
  <si>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</si>
  <si>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</si>
  <si>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</si>
  <si>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</si>
  <si>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</si>
  <si>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</si>
  <si>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</si>
  <si>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</si>
  <si>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</si>
  <si>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</si>
  <si>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</si>
  <si>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</si>
  <si>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</si>
  <si>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</si>
  <si>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</si>
  <si>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</si>
  <si>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</si>
  <si>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</si>
  <si>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</si>
  <si>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</si>
  <si>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</si>
  <si>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</si>
  <si>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</si>
  <si>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</si>
  <si>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</si>
  <si>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</si>
  <si>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</si>
  <si>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</si>
  <si>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</si>
  <si>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</si>
  <si>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</si>
  <si>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</si>
  <si>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</si>
  <si>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</si>
  <si>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</si>
  <si>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</si>
  <si>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</si>
  <si>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</si>
  <si>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</si>
  <si>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</si>
  <si>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</si>
  <si>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</si>
  <si>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</si>
  <si>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</si>
  <si>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</si>
  <si>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</si>
  <si>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</si>
  <si>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</si>
  <si>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</si>
  <si>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</si>
  <si>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</si>
  <si>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</si>
  <si>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</si>
  <si>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</si>
  <si>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</si>
  <si>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</si>
  <si>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</si>
  <si>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</si>
  <si>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</si>
  <si>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</si>
  <si>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</si>
  <si>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</si>
  <si>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</si>
  <si>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</si>
  <si>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</si>
  <si>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</si>
  <si>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</si>
  <si>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</si>
  <si>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</si>
  <si>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</si>
  <si>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</si>
  <si>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</si>
  <si>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</si>
  <si>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</si>
  <si>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</si>
  <si>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</si>
  <si>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</si>
  <si>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</si>
  <si>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</si>
  <si>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</si>
  <si>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</si>
  <si>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</si>
  <si>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</si>
  <si>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</si>
  <si>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</si>
  <si>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</si>
  <si>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</si>
  <si>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</si>
  <si>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</si>
  <si>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</si>
  <si>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</si>
  <si>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</si>
  <si>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</si>
  <si>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</si>
  <si>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</si>
  <si>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</si>
  <si>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</si>
  <si>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</si>
  <si>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</si>
  <si>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</si>
  <si>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</si>
  <si>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</si>
  <si>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</si>
  <si>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</si>
  <si>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</si>
  <si>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</si>
  <si>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</si>
  <si>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</si>
  <si>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</si>
  <si>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</si>
  <si>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</si>
  <si>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</si>
  <si>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</si>
  <si>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</si>
  <si>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</si>
  <si>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</si>
  <si>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</si>
  <si>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</si>
  <si>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</si>
  <si>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</si>
  <si>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</si>
  <si>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</si>
  <si>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</si>
  <si>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</si>
  <si>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</si>
  <si>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</si>
  <si>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</si>
  <si>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</si>
  <si>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</si>
  <si>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</si>
  <si>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</si>
  <si>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</si>
  <si>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</si>
  <si>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</si>
  <si>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</si>
  <si>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</si>
  <si>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</si>
  <si>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</si>
  <si>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</si>
  <si>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</si>
  <si>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</si>
  <si>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</si>
  <si>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</si>
  <si>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</si>
  <si>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</si>
  <si>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</si>
  <si>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</si>
  <si>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</si>
  <si>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</si>
  <si>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</si>
  <si>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</si>
  <si>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</si>
  <si>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</si>
  <si>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</si>
  <si>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</si>
  <si>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</si>
  <si>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</si>
  <si>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</si>
  <si>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</si>
  <si>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</si>
  <si>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</si>
  <si>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</si>
  <si>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</si>
  <si>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</si>
  <si>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</si>
  <si>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</si>
  <si>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</si>
  <si>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</si>
  <si>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</si>
  <si>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</si>
  <si>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</si>
  <si>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</si>
  <si>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</si>
  <si>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</si>
  <si>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</si>
  <si>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</si>
  <si>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</si>
  <si>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</si>
  <si>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</si>
  <si>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</si>
  <si>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</si>
  <si>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</si>
  <si>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</si>
  <si>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</si>
  <si>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</si>
  <si>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</si>
  <si>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</si>
  <si>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</si>
  <si>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</si>
  <si>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</si>
  <si>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</si>
  <si>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</si>
  <si>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</si>
  <si>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</si>
  <si>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</si>
  <si>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</si>
  <si>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</si>
  <si>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</si>
  <si>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</si>
  <si>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</si>
  <si>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</si>
  <si>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</si>
  <si>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</si>
  <si>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</si>
  <si>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</si>
  <si>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</si>
  <si>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</si>
  <si>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</si>
  <si>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</si>
  <si>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</si>
  <si>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</si>
  <si>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</si>
  <si>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</si>
  <si>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</si>
  <si>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</si>
  <si>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</si>
  <si>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</si>
  <si>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</si>
  <si>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</si>
  <si>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</si>
  <si>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</si>
  <si>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</si>
  <si>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</si>
  <si>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</si>
  <si>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</si>
  <si>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</si>
  <si>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</si>
  <si>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</si>
  <si>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</si>
  <si>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</si>
  <si>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</si>
  <si>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</si>
  <si>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</si>
  <si>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</si>
  <si>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</si>
  <si>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</si>
  <si>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</si>
  <si>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</si>
  <si>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</si>
  <si>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</si>
  <si>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</si>
  <si>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</si>
  <si>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</si>
  <si>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</si>
  <si>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</si>
  <si>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</si>
  <si>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</si>
  <si>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</si>
  <si>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</si>
  <si>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</si>
  <si>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</si>
  <si>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</si>
  <si>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</si>
  <si>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</si>
  <si>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</si>
  <si>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</si>
  <si>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</si>
  <si>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</si>
  <si>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</si>
  <si>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</si>
  <si>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</si>
  <si>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</si>
  <si>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</si>
  <si>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</si>
  <si>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</si>
  <si>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</si>
  <si>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</si>
  <si>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</si>
  <si>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</si>
  <si>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</si>
  <si>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</si>
  <si>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</si>
  <si>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</si>
  <si>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</si>
  <si>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</si>
  <si>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</si>
  <si>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</si>
  <si>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</si>
  <si>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</si>
  <si>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</si>
  <si>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</si>
  <si>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</si>
  <si>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</si>
  <si>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</si>
  <si>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</si>
  <si>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</si>
  <si>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</si>
  <si>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</si>
  <si>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</si>
  <si>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</si>
  <si>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</si>
  <si>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</si>
  <si>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</si>
  <si>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</si>
  <si>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</si>
  <si>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</si>
  <si>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</si>
  <si>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</si>
  <si>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</si>
  <si>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</si>
  <si>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</si>
  <si>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</si>
  <si>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</si>
  <si>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</si>
  <si>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</si>
  <si>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</si>
  <si>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</si>
  <si>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</si>
  <si>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</si>
  <si>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</si>
  <si>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</si>
  <si>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</si>
  <si>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</si>
  <si>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</si>
  <si>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</si>
  <si>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</si>
  <si>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</si>
  <si>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</si>
  <si>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</si>
  <si>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</si>
  <si>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</si>
  <si>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</si>
  <si>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</si>
  <si>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</si>
  <si>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</si>
  <si>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</si>
  <si>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</si>
  <si>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</si>
  <si>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</si>
  <si>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</si>
  <si>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</si>
  <si>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</si>
  <si>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</si>
  <si>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</si>
  <si>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</si>
  <si>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</si>
  <si>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</si>
  <si>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</si>
  <si>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</si>
  <si>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</si>
  <si>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</si>
  <si>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</si>
  <si>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</si>
  <si>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</si>
  <si>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</si>
  <si>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</si>
  <si>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</si>
  <si>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</si>
  <si>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</si>
  <si>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</si>
  <si>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</si>
  <si>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</si>
  <si>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</si>
  <si>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</si>
  <si>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</si>
  <si>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</si>
  <si>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</si>
  <si>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</si>
  <si>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</si>
  <si>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</si>
  <si>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</si>
  <si>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</si>
  <si>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</si>
  <si>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</si>
  <si>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</si>
  <si>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</si>
  <si>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</si>
  <si>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</si>
  <si>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</si>
  <si>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</si>
  <si>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</si>
  <si>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</si>
  <si>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</si>
  <si>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</si>
  <si>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</si>
  <si>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</si>
  <si>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</si>
  <si>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</si>
  <si>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</si>
  <si>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</si>
  <si>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</si>
  <si>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</si>
  <si>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</si>
  <si>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</si>
  <si>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</si>
  <si>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</si>
  <si>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</si>
  <si>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</si>
  <si>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</si>
  <si>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</si>
  <si>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</si>
  <si>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</si>
  <si>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</si>
  <si>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</si>
  <si>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</si>
  <si>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</si>
  <si>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</si>
  <si>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</si>
  <si>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</si>
  <si>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</si>
  <si>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</si>
  <si>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</si>
  <si>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</si>
  <si>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</si>
  <si>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</si>
  <si>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</si>
  <si>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</si>
  <si>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</si>
  <si>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</si>
  <si>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</si>
  <si>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</si>
  <si>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</si>
  <si>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</si>
  <si>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</si>
  <si>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</si>
  <si>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</si>
  <si>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</si>
  <si>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</si>
  <si>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</si>
  <si>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</si>
  <si>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</si>
  <si>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</si>
  <si>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</si>
  <si>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</si>
  <si>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</si>
  <si>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</si>
  <si>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</si>
  <si>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</si>
  <si>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</si>
  <si>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</si>
  <si>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</si>
  <si>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</si>
  <si>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</si>
  <si>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</si>
  <si>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</si>
  <si>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</si>
  <si>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</si>
  <si>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</si>
  <si>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</si>
  <si>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</si>
  <si>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</si>
  <si>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</si>
  <si>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</si>
  <si>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</si>
  <si>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</si>
  <si>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</si>
  <si>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</si>
  <si>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</si>
  <si>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</si>
  <si>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</si>
  <si>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</si>
  <si>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</si>
  <si>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</si>
  <si>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</si>
  <si>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</si>
  <si>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</si>
  <si>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</si>
  <si>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</si>
  <si>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</si>
  <si>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</si>
  <si>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</si>
  <si>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</si>
  <si>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</si>
  <si>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</si>
  <si>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</si>
  <si>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</si>
  <si>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</si>
  <si>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</si>
  <si>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</si>
  <si>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</si>
  <si>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</si>
  <si>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</si>
  <si>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</si>
  <si>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</si>
  <si>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</si>
  <si>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</si>
  <si>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</si>
  <si>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</si>
  <si>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</si>
  <si>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</si>
  <si>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</si>
  <si>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</si>
  <si>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</si>
  <si>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</si>
  <si>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</si>
  <si>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</si>
  <si>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</si>
  <si>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</si>
  <si>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</si>
  <si>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</si>
  <si>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</si>
  <si>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</si>
  <si>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</si>
  <si>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</si>
  <si>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</si>
  <si>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</si>
  <si>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</si>
  <si>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</si>
  <si>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</si>
  <si>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</si>
  <si>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</si>
  <si>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</si>
  <si>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</si>
  <si>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</si>
  <si>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</si>
  <si>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</si>
  <si>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</si>
  <si>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</si>
  <si>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</si>
  <si>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</si>
  <si>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</si>
  <si>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</si>
  <si>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</si>
  <si>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</si>
  <si>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</si>
  <si>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</si>
  <si>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</si>
  <si>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</si>
  <si>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</si>
  <si>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</si>
  <si>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</si>
  <si>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</si>
  <si>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</si>
  <si>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</si>
  <si>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</si>
  <si>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</si>
  <si>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</si>
  <si>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</si>
  <si>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</si>
  <si>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</si>
  <si>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</si>
  <si>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</si>
  <si>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</si>
  <si>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</si>
  <si>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</si>
  <si>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</si>
  <si>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</si>
  <si>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</si>
  <si>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</si>
  <si>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</si>
  <si>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</si>
  <si>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</si>
  <si>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</si>
  <si>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</si>
  <si>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</si>
  <si>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</si>
  <si>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</si>
  <si>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</si>
  <si>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</si>
  <si>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</si>
  <si>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</si>
  <si>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</si>
  <si>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</si>
  <si>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</si>
  <si>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</si>
  <si>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</si>
  <si>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</si>
  <si>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</si>
  <si>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</si>
  <si>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</si>
  <si>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</si>
  <si>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</si>
  <si>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</si>
  <si>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</si>
  <si>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</si>
  <si>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</si>
  <si>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</si>
  <si>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</si>
  <si>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</si>
  <si>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</si>
  <si>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</si>
  <si>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</si>
  <si>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</si>
  <si>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</si>
  <si>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</si>
  <si>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</si>
  <si>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</si>
  <si>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</si>
  <si>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</si>
  <si>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</si>
  <si>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</si>
  <si>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</si>
  <si>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</si>
  <si>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</si>
  <si>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</si>
  <si>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</si>
  <si>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</si>
  <si>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</si>
  <si>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</si>
  <si>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</si>
  <si>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</si>
  <si>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</si>
  <si>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</si>
  <si>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</si>
  <si>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</si>
  <si>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</si>
  <si>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</si>
  <si>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</si>
  <si>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</si>
  <si>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</si>
  <si>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</si>
  <si>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</si>
  <si>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</si>
  <si>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</si>
  <si>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</si>
  <si>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</si>
  <si>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</si>
  <si>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</si>
  <si>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</si>
  <si>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</si>
  <si>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</si>
  <si>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</si>
  <si>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</si>
  <si>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</si>
  <si>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</si>
  <si>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</si>
  <si>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</si>
  <si>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</si>
  <si>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</si>
  <si>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</si>
  <si>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</si>
  <si>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</si>
  <si>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</si>
  <si>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</si>
  <si>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</si>
  <si>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</si>
  <si>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</si>
  <si>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</si>
  <si>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</si>
  <si>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</si>
  <si>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</si>
  <si>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</si>
  <si>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</si>
  <si>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</si>
  <si>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</si>
  <si>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</si>
  <si>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</si>
  <si>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</si>
  <si>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</si>
  <si>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</si>
  <si>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</si>
  <si>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</si>
  <si>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</si>
  <si>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</si>
  <si>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</si>
  <si>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</si>
  <si>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</si>
  <si>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</si>
  <si>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</si>
  <si>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</si>
  <si>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</si>
  <si>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</si>
  <si>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</si>
  <si>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</si>
  <si>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</si>
  <si>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</si>
  <si>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</si>
  <si>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</si>
  <si>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</si>
  <si>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</si>
  <si>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</si>
  <si>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</si>
  <si>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</si>
  <si>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</si>
  <si>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</si>
  <si>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</si>
  <si>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</si>
  <si>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</si>
  <si>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</si>
  <si>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</si>
  <si>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</si>
  <si>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</si>
  <si>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</si>
  <si>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</si>
  <si>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</si>
  <si>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</si>
  <si>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</si>
  <si>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</si>
  <si>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</si>
  <si>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</si>
  <si>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</si>
  <si>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</si>
  <si>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</si>
  <si>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</si>
  <si>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</si>
  <si>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</si>
  <si>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</si>
  <si>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</si>
  <si>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</si>
  <si>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</si>
  <si>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</si>
  <si>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</si>
  <si>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</si>
  <si>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</si>
  <si>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</si>
  <si>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</si>
  <si>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</si>
  <si>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</si>
  <si>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</si>
  <si>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</si>
  <si>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</si>
  <si>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</si>
  <si>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</si>
  <si>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</si>
  <si>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</si>
  <si>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</si>
  <si>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</si>
  <si>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</si>
  <si>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</si>
  <si>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</si>
  <si>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</si>
  <si>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</si>
  <si>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</si>
  <si>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</si>
  <si>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</si>
  <si>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</si>
  <si>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</si>
  <si>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</si>
  <si>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</si>
  <si>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</si>
  <si>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</si>
  <si>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</si>
  <si>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</si>
  <si>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</si>
  <si>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</si>
  <si>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</si>
  <si>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</si>
  <si>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</si>
  <si>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</si>
  <si>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</si>
  <si>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</si>
  <si>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</si>
  <si>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</si>
  <si>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</si>
  <si>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</si>
  <si>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</si>
  <si>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</si>
  <si>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</si>
  <si>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</si>
  <si>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</si>
  <si>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</si>
  <si>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</si>
  <si>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</si>
  <si>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</si>
  <si>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</si>
  <si>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</si>
  <si>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</si>
  <si>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</si>
  <si>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</si>
  <si>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</si>
  <si>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</si>
  <si>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</si>
  <si>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</si>
  <si>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</si>
  <si>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</si>
  <si>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</si>
  <si>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</si>
  <si>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</si>
  <si>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</si>
  <si>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</si>
  <si>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</si>
  <si>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</si>
  <si>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</si>
  <si>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</si>
  <si>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</si>
  <si>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</si>
  <si>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</si>
  <si>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</si>
  <si>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</si>
  <si>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</si>
  <si>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</si>
  <si>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</si>
  <si>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</si>
  <si>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</si>
  <si>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</si>
  <si>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</si>
  <si>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</si>
  <si>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</si>
  <si>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</si>
  <si>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</si>
  <si>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</si>
  <si>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</si>
  <si>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</si>
  <si>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</si>
  <si>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</si>
  <si>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</si>
  <si>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</si>
  <si>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</si>
  <si>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</si>
  <si>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</si>
  <si>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</si>
  <si>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</si>
  <si>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</si>
  <si>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</si>
  <si>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</si>
  <si>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</si>
  <si>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</si>
  <si>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</si>
  <si>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</si>
  <si>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</si>
  <si>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</si>
  <si>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</si>
  <si>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</si>
  <si>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</si>
  <si>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</si>
  <si>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</si>
  <si>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</si>
  <si>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</si>
  <si>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</si>
  <si>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</si>
  <si>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</si>
  <si>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</si>
  <si>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</si>
  <si>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</si>
  <si>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</si>
  <si>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</si>
  <si>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</si>
  <si>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</si>
  <si>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</si>
  <si>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</si>
  <si>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</si>
  <si>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</si>
  <si>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</si>
  <si>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</si>
  <si>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</si>
  <si>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</si>
  <si>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</si>
  <si>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</si>
  <si>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</si>
  <si>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</si>
  <si>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</si>
  <si>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</si>
  <si>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</si>
  <si>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</si>
  <si>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</si>
  <si>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</si>
  <si>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</si>
  <si>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</si>
  <si>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</si>
  <si>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</si>
  <si>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</si>
  <si>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</si>
  <si>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</si>
  <si>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</si>
  <si>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</si>
  <si>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</si>
  <si>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</si>
  <si>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</si>
  <si>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</si>
  <si>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</si>
  <si>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</si>
  <si>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</si>
  <si>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</si>
  <si>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</si>
  <si>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</si>
  <si>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</si>
  <si>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</si>
  <si>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</si>
  <si>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</si>
  <si>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</si>
  <si>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</si>
  <si>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</si>
  <si>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</si>
  <si>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</si>
  <si>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</si>
  <si>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</si>
  <si>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</si>
  <si>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</si>
  <si>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</si>
  <si>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</si>
  <si>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</si>
  <si>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</si>
  <si>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</si>
  <si>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</si>
  <si>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</si>
  <si>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</si>
  <si>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</si>
  <si>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</si>
  <si>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</si>
  <si>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</si>
  <si>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</si>
  <si>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</si>
  <si>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</si>
  <si>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</si>
  <si>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</si>
  <si>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</si>
  <si>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</si>
  <si>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</si>
  <si>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</si>
  <si>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</si>
  <si>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</si>
  <si>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</si>
  <si>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</si>
  <si>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</si>
  <si>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</si>
  <si>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</si>
  <si>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</si>
  <si>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</si>
  <si>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</si>
  <si>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</si>
  <si>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</si>
  <si>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</si>
  <si>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</si>
  <si>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</si>
  <si>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</si>
  <si>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</si>
  <si>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</si>
  <si>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</si>
  <si>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</si>
  <si>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</si>
  <si>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</si>
  <si>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</si>
  <si>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</si>
  <si>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</si>
  <si>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</si>
  <si>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</si>
  <si>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</si>
  <si>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</si>
  <si>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</si>
  <si>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</si>
  <si>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</si>
  <si>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</si>
  <si>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</si>
  <si>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</si>
  <si>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</si>
  <si>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</si>
  <si>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</si>
  <si>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</si>
  <si>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</si>
  <si>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</si>
  <si>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</si>
  <si>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</si>
  <si>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</si>
  <si>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</si>
  <si>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</si>
  <si>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</si>
  <si>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</si>
  <si>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</si>
  <si>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</si>
  <si>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</si>
  <si>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</si>
  <si>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</si>
  <si>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</si>
  <si>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</si>
  <si>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</si>
  <si>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</si>
  <si>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</si>
  <si>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</si>
  <si>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</si>
  <si>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</si>
  <si>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</si>
  <si>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</si>
  <si>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</si>
  <si>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</si>
  <si>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</si>
  <si>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</si>
  <si>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</si>
  <si>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</si>
  <si>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</si>
  <si>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</si>
  <si>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</si>
  <si>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</si>
  <si>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</si>
  <si>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</si>
  <si>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</si>
  <si>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</si>
  <si>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</si>
  <si>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</si>
  <si>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</si>
  <si>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</si>
  <si>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</si>
  <si>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</si>
  <si>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</si>
  <si>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</si>
  <si>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</si>
  <si>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</si>
  <si>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</si>
  <si>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</si>
  <si>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</si>
  <si>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</si>
  <si>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</si>
  <si>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</si>
  <si>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</si>
  <si>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</si>
  <si>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</si>
  <si>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</si>
  <si>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</si>
  <si>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</si>
  <si>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</si>
  <si>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</si>
  <si>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</si>
  <si>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</si>
  <si>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</si>
  <si>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</si>
  <si>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</si>
  <si>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</si>
  <si>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</si>
  <si>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</si>
  <si>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</si>
  <si>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</si>
  <si>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</si>
  <si>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</si>
  <si>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</si>
  <si>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</si>
  <si>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</si>
  <si>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</si>
  <si>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</si>
  <si>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</si>
  <si>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</si>
  <si>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</si>
  <si>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</si>
  <si>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</si>
  <si>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</si>
  <si>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</si>
  <si>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</si>
  <si>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</si>
  <si>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</si>
  <si>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</si>
  <si>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</si>
  <si>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</si>
  <si>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</si>
  <si>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</si>
  <si>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</si>
  <si>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</si>
  <si>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</si>
  <si>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</si>
  <si>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</si>
  <si>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</si>
  <si>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</si>
  <si>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</si>
  <si>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</si>
  <si>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</si>
  <si>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</si>
  <si>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</si>
  <si>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</si>
  <si>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</si>
  <si>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</si>
  <si>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</si>
  <si>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</si>
  <si>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</si>
  <si>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</si>
  <si>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</si>
  <si>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</si>
  <si>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</si>
  <si>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</si>
  <si>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</si>
  <si>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</si>
  <si>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</si>
  <si>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</si>
  <si>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</si>
  <si>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</si>
  <si>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</si>
  <si>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</si>
  <si>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</si>
  <si>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</si>
  <si>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</si>
  <si>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</si>
  <si>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</si>
  <si>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</si>
  <si>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</si>
  <si>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</si>
  <si>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</si>
  <si>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</si>
  <si>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</si>
  <si>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</si>
  <si>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</si>
  <si>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</si>
  <si>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</si>
  <si>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</si>
  <si>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</si>
  <si>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</si>
  <si>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</si>
  <si>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</si>
  <si>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</si>
  <si>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</si>
  <si>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</si>
  <si>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</si>
  <si>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</si>
  <si>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</si>
  <si>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</si>
  <si>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</si>
  <si>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</si>
  <si>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</si>
  <si>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</si>
  <si>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</si>
  <si>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</si>
  <si>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</si>
  <si>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</si>
  <si>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</si>
  <si>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</si>
  <si>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</si>
  <si>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</si>
  <si>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</si>
  <si>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</si>
  <si>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</si>
  <si>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</si>
  <si>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</si>
  <si>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</si>
  <si>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</si>
  <si>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</si>
  <si>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</si>
  <si>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</si>
  <si>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</si>
  <si>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</si>
  <si>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</si>
  <si>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</si>
  <si>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</si>
  <si>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</si>
  <si>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</si>
  <si>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</si>
  <si>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</si>
  <si>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</si>
  <si>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</si>
  <si>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</si>
  <si>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</si>
  <si>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</si>
  <si>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</si>
  <si>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</si>
  <si>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</si>
  <si>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</si>
  <si>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</si>
  <si>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</si>
  <si>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</si>
  <si>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</si>
  <si>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</si>
  <si>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</si>
  <si>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</si>
  <si>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</si>
  <si>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</si>
  <si>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</si>
  <si>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</si>
  <si>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</si>
  <si>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</si>
  <si>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</si>
  <si>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</si>
  <si>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</si>
  <si>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</si>
  <si>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</si>
  <si>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</si>
  <si>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</si>
  <si>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</si>
  <si>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</si>
  <si>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</si>
  <si>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</si>
  <si>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</si>
  <si>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</si>
  <si>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</si>
  <si>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</si>
  <si>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</si>
  <si>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</si>
  <si>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</si>
  <si>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</si>
  <si>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</si>
  <si>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</si>
  <si>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</si>
  <si>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</si>
  <si>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</si>
  <si>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</si>
  <si>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</si>
  <si>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</si>
  <si>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</si>
  <si>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</si>
  <si>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</si>
  <si>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</si>
  <si>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</si>
  <si>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</si>
  <si>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</si>
  <si>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</si>
  <si>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</si>
  <si>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</si>
  <si>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</si>
  <si>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</si>
  <si>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</si>
  <si>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</si>
  <si>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</si>
  <si>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</si>
  <si>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</si>
  <si>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</si>
  <si>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</si>
  <si>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</si>
  <si>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</si>
  <si>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</si>
  <si>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</si>
  <si>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</si>
  <si>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</si>
  <si>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</si>
  <si>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</si>
  <si>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</si>
  <si>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</si>
  <si>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</si>
  <si>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</si>
  <si>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</si>
  <si>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</si>
  <si>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</si>
  <si>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</si>
  <si>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</si>
  <si>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</si>
  <si>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</si>
  <si>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</si>
  <si>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</si>
  <si>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</si>
  <si>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</si>
  <si>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</si>
  <si>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</si>
  <si>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</si>
  <si>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</si>
  <si>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</si>
  <si>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</si>
  <si>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</si>
  <si>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</si>
  <si>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</si>
  <si>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</si>
  <si>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</si>
  <si>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</si>
  <si>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</si>
  <si>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</si>
  <si>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</si>
  <si>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</si>
  <si>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</si>
  <si>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</si>
  <si>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</si>
  <si>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</si>
  <si>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</si>
  <si>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</si>
  <si>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</si>
  <si>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</si>
  <si>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</si>
  <si>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</si>
  <si>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</si>
  <si>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</si>
  <si>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</si>
  <si>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</si>
  <si>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</si>
  <si>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</si>
  <si>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</si>
  <si>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</si>
  <si>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</si>
  <si>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</si>
  <si>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</si>
  <si>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</si>
  <si>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</si>
  <si>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</si>
  <si>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</si>
  <si>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</si>
  <si>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</si>
  <si>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</si>
  <si>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</si>
  <si>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</si>
  <si>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</si>
  <si>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</si>
  <si>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</si>
  <si>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</si>
  <si>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</si>
  <si>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</si>
  <si>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</si>
  <si>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</si>
  <si>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</si>
  <si>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</si>
  <si>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</si>
  <si>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</si>
  <si>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</si>
  <si>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</si>
  <si>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</si>
  <si>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</si>
  <si>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</si>
  <si>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</si>
  <si>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</si>
  <si>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</si>
  <si>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</si>
  <si>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</si>
  <si>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</si>
  <si>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</si>
  <si>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</si>
  <si>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</si>
  <si>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</si>
  <si>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</si>
  <si>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</si>
  <si>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</si>
  <si>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</si>
  <si>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</si>
  <si>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</si>
  <si>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</si>
  <si>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</si>
  <si>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</si>
  <si>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</si>
  <si>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</si>
  <si>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</si>
  <si>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</si>
  <si>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</si>
  <si>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</si>
  <si>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</si>
  <si>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</si>
  <si>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</si>
  <si>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</si>
  <si>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</si>
  <si>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</si>
  <si>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</si>
  <si>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</si>
  <si>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</si>
  <si>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</si>
  <si>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</si>
  <si>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</si>
  <si>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</si>
  <si>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</si>
  <si>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</si>
  <si>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</si>
  <si>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</si>
  <si>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</si>
  <si>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</si>
  <si>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</si>
  <si>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</si>
  <si>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</si>
  <si>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</si>
  <si>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</si>
  <si>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</si>
  <si>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</si>
  <si>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</si>
  <si>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</si>
  <si>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</si>
  <si>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</si>
  <si>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</si>
  <si>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</si>
  <si>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</si>
  <si>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</si>
  <si>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</si>
  <si>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</si>
  <si>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</si>
  <si>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</si>
  <si>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</si>
  <si>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</si>
  <si>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</si>
  <si>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</si>
  <si>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</si>
  <si>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</si>
  <si>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</si>
  <si>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</si>
  <si>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</si>
  <si>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</si>
  <si>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</si>
  <si>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</si>
  <si>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</si>
  <si>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</si>
  <si>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</si>
  <si>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</si>
  <si>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</si>
  <si>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</si>
  <si>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</si>
  <si>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</si>
  <si>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</si>
  <si>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</si>
  <si>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</si>
  <si>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</si>
  <si>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</si>
  <si>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</si>
  <si>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</si>
  <si>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</si>
  <si>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</si>
  <si>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</si>
  <si>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</si>
  <si>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</si>
  <si>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</si>
  <si>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</si>
  <si>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</si>
  <si>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</si>
  <si>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</si>
  <si>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</si>
  <si>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</si>
  <si>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</si>
  <si>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</si>
  <si>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</si>
  <si>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</si>
  <si>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</si>
  <si>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</si>
  <si>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</si>
  <si>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</si>
  <si>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</si>
  <si>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</si>
  <si>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</si>
  <si>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</si>
  <si>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</si>
  <si>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</si>
  <si>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</si>
  <si>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</si>
  <si>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</si>
  <si>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</si>
  <si>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</si>
  <si>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</si>
  <si>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</si>
  <si>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</si>
  <si>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</si>
  <si>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</si>
  <si>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</si>
  <si>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</si>
  <si>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</si>
  <si>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</si>
  <si>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</si>
  <si>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</si>
  <si>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</si>
  <si>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</si>
  <si>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</si>
  <si>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</si>
  <si>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</si>
  <si>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</si>
  <si>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</si>
  <si>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</si>
  <si>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</si>
  <si>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</si>
  <si>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</si>
  <si>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</si>
  <si>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</si>
  <si>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</si>
  <si>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</si>
  <si>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</si>
  <si>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</si>
  <si>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</si>
  <si>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</si>
  <si>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</si>
  <si>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</si>
  <si>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</si>
  <si>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</si>
  <si>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</si>
  <si>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</si>
  <si>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</si>
  <si>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</si>
  <si>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</si>
  <si>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</si>
  <si>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</si>
  <si>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</si>
  <si>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</si>
  <si>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</si>
  <si>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</si>
  <si>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</si>
  <si>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</si>
  <si>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</si>
  <si>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</si>
  <si>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</si>
  <si>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</si>
  <si>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</si>
  <si>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</si>
  <si>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</si>
  <si>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</si>
  <si>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</si>
  <si>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</si>
  <si>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</si>
  <si>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</si>
  <si>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</si>
  <si>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</si>
  <si>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</si>
  <si>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</si>
  <si>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</si>
  <si>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</si>
  <si>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</si>
  <si>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</si>
  <si>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</si>
  <si>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</si>
  <si>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</si>
  <si>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</si>
  <si>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</si>
  <si>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</si>
  <si>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</si>
  <si>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</si>
  <si>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</si>
  <si>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</si>
  <si>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</si>
  <si>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</si>
  <si>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</si>
  <si>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</si>
  <si>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</si>
  <si>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</si>
  <si>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</si>
  <si>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</si>
  <si>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</si>
  <si>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</si>
  <si>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</si>
  <si>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</si>
  <si>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</si>
  <si>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</si>
  <si>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</si>
  <si>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</si>
  <si>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</si>
  <si>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</si>
  <si>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</si>
  <si>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</si>
  <si>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</si>
  <si>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</si>
  <si>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</si>
  <si>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</si>
  <si>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</si>
  <si>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</si>
  <si>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</si>
  <si>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</si>
  <si>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>Nota 9</t>
  </si>
  <si>
    <t xml:space="preserve">     Depósitos e Cauções Judiciais </t>
  </si>
  <si>
    <t>Nota 9 a</t>
  </si>
  <si>
    <t>Nota 9 b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</si>
  <si>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</si>
  <si>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</si>
  <si>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</si>
  <si>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</si>
  <si>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</si>
  <si>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</si>
  <si>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</si>
  <si>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</si>
  <si>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</si>
  <si>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</si>
  <si>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</si>
  <si>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</si>
  <si>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</si>
  <si>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</si>
  <si>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</si>
  <si>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</si>
  <si>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</si>
  <si>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</si>
  <si>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</si>
  <si>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</si>
  <si>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 xml:space="preserve">    Parcelamento INSS</t>
  </si>
  <si>
    <t>Nota 18</t>
  </si>
  <si>
    <t xml:space="preserve">    Parcelamento PERT</t>
  </si>
  <si>
    <t xml:space="preserve">    Provisões </t>
  </si>
  <si>
    <t xml:space="preserve">    Credores Diversos </t>
  </si>
  <si>
    <t>Nota 20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</si>
  <si>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</si>
  <si>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</si>
  <si>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</si>
  <si>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</si>
  <si>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>Nota 22</t>
  </si>
  <si>
    <t>Nota 24</t>
  </si>
  <si>
    <t xml:space="preserve"> EXIGÍVEL A LONGO PRAZO </t>
  </si>
  <si>
    <t xml:space="preserve">    Parcelamento INSS 2016</t>
  </si>
  <si>
    <t xml:space="preserve">    Créditos para futuro aumento de capital</t>
  </si>
  <si>
    <t>Nota 23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</si>
  <si>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</si>
  <si>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</si>
  <si>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</si>
  <si>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</si>
  <si>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</si>
  <si>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</si>
  <si>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Prejuízos Acumulados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</si>
  <si>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</si>
  <si>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</si>
  <si>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</si>
  <si>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</si>
  <si>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</si>
  <si>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</si>
  <si>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</si>
  <si>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</si>
  <si>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</si>
  <si>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</si>
  <si>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</si>
  <si>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</si>
  <si>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</si>
  <si>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</si>
  <si>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</si>
  <si>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</si>
  <si>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</si>
  <si>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</si>
  <si>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</si>
  <si>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</si>
  <si>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</si>
  <si>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</si>
  <si>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</si>
  <si>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</si>
  <si>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</si>
  <si>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</si>
  <si>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</si>
  <si>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</si>
  <si>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</si>
  <si>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</si>
  <si>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</si>
  <si>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</si>
  <si>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</si>
  <si>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</si>
  <si>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</si>
  <si>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</si>
  <si>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</si>
  <si>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</si>
  <si>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</si>
  <si>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</si>
  <si>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</si>
  <si>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</si>
  <si>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</si>
  <si>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</si>
  <si>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</si>
  <si>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</si>
  <si>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</si>
  <si>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</si>
  <si>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</si>
  <si>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</si>
  <si>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</si>
  <si>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</si>
  <si>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</si>
  <si>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</si>
  <si>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</si>
  <si>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</si>
  <si>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</si>
  <si>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</si>
  <si>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</si>
  <si>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</si>
  <si>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</si>
  <si>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</si>
  <si>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</si>
  <si>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</si>
  <si>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</si>
  <si>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</si>
  <si>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</si>
  <si>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</si>
  <si>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</si>
  <si>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</si>
  <si>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</si>
  <si>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</si>
  <si>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</si>
  <si>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</si>
  <si>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</si>
  <si>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</si>
  <si>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</si>
  <si>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</si>
  <si>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</si>
  <si>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</si>
  <si>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</si>
  <si>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</si>
  <si>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>Nota 25 a</t>
  </si>
  <si>
    <t>Nota 25 b</t>
  </si>
  <si>
    <t xml:space="preserve">  Ganhos e Perdas Capital</t>
  </si>
  <si>
    <t>Saldos em 31 de março de 2020</t>
  </si>
  <si>
    <t>Reserva Especial Nota 24.b</t>
  </si>
  <si>
    <t xml:space="preserve">    PORTUS - IRTS</t>
  </si>
  <si>
    <t>Nota 19 a</t>
  </si>
  <si>
    <t>Nota 19 b</t>
  </si>
  <si>
    <t>Nota 25 e</t>
  </si>
  <si>
    <t xml:space="preserve"> 30 DE JUNHO DE 2020 E 30 DE JUNHO DE 2019</t>
  </si>
  <si>
    <t>DEMONSTRAÇÃO DO FLUXO DE CAIXA</t>
  </si>
  <si>
    <t>31/12/2019 (REAPRESENTADO)</t>
  </si>
  <si>
    <t>Saldos em 31 de dezembro de 2019 (REAPRESENTADO)</t>
  </si>
  <si>
    <t>REAPRESENTADA</t>
  </si>
  <si>
    <t>01/JAN./19</t>
  </si>
  <si>
    <t>Fortes Contábil 6.164.0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</si>
  <si>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</si>
  <si>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</si>
  <si>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</si>
  <si>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</si>
  <si>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</si>
  <si>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</si>
  <si>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</si>
  <si>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</si>
  <si>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</si>
  <si>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</si>
  <si>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</si>
  <si>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</si>
  <si>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</si>
  <si>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</si>
  <si>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</si>
  <si>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</si>
  <si>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</si>
  <si>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</si>
  <si>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</si>
  <si>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</si>
  <si>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</si>
  <si>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</si>
  <si>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</si>
  <si>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</si>
  <si>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</si>
  <si>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</si>
  <si>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</si>
  <si>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</si>
  <si>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</si>
  <si>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</si>
  <si>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</si>
  <si>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</si>
  <si>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</si>
  <si>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</si>
  <si>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</si>
  <si>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</si>
  <si>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</si>
  <si>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</si>
  <si>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</si>
  <si>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</si>
  <si>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</si>
  <si>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</si>
  <si>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</si>
  <si>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</si>
  <si>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</si>
  <si>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</si>
  <si>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</si>
  <si>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</si>
  <si>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</si>
  <si>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</si>
  <si>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</si>
  <si>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</si>
  <si>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</si>
  <si>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</si>
  <si>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</si>
  <si>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</si>
  <si>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</si>
  <si>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</si>
  <si>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</si>
  <si>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</si>
  <si>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</si>
  <si>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</si>
  <si>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</si>
  <si>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</si>
  <si>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</si>
  <si>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</si>
  <si>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</si>
  <si>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</si>
  <si>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</si>
  <si>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</si>
  <si>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</si>
  <si>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</si>
  <si>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</si>
  <si>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</si>
  <si>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Período: 01/01/2019 a 30/09/2019; Estabelecimento(s): Todos; Centro(s) de Resultados: Todos</t>
  </si>
  <si>
    <t>0,10</t>
  </si>
  <si>
    <t>211.01.01.0207</t>
  </si>
  <si>
    <t>CAMARA DE DIRIGENTES LOJISTAS DE FORTALEZA - CDL/SPC</t>
  </si>
  <si>
    <t>211.01.01.0336</t>
  </si>
  <si>
    <t>CB BATERIAS LTDA - ME</t>
  </si>
  <si>
    <t>211.01.02.0424</t>
  </si>
  <si>
    <t>ESPACO - TECNOLOGIA E SOLUCAO GEOGRAFICA LTDA</t>
  </si>
  <si>
    <t>217.01.02.0187</t>
  </si>
  <si>
    <t>LIVING EMP ARTISTICOS E GASTRONOMICOS LTDA</t>
  </si>
  <si>
    <t>411.01.01.0032</t>
  </si>
  <si>
    <t>411.01.01.0033</t>
  </si>
  <si>
    <t>411.01.03.0007</t>
  </si>
  <si>
    <t>PROJETOS DE ENGENHARIA</t>
  </si>
  <si>
    <t>511.01.01.0002</t>
  </si>
  <si>
    <t>511.01.03.0010</t>
  </si>
  <si>
    <t>SERV.DE MAQUINAS E EQUIPAMENTOS</t>
  </si>
  <si>
    <t>511.01.03.0025</t>
  </si>
  <si>
    <t>SERVICOS TECNICOS E ESPECIALIZADOS</t>
  </si>
  <si>
    <t>511.01.04.0015</t>
  </si>
  <si>
    <t>PRODUTOS ORNAMENTAIS DE JARDINAGEM</t>
  </si>
  <si>
    <t>511.01.05.0027</t>
  </si>
  <si>
    <t>DUPLICATAS INCOBRAVEIS</t>
  </si>
  <si>
    <t>511.01.05.0029</t>
  </si>
  <si>
    <t>DESPESAS COM VIAGENS</t>
  </si>
  <si>
    <t>624.01.01.0002</t>
  </si>
  <si>
    <t>DEBITOS INCOBRAVEIS - PERDAS</t>
  </si>
  <si>
    <t>30 DE SETEMBRO DE 2020 E  31 DE DEZEMBRO DE 2019</t>
  </si>
  <si>
    <t xml:space="preserve"> 30 DE SETEMBRO DE 2020 E 30 DE SETEMBRO DE 2019</t>
  </si>
  <si>
    <t>30/SET./19</t>
  </si>
  <si>
    <t>Saldos em 30 de setembro de 2019</t>
  </si>
  <si>
    <t>Saldos em 30 de setembro de 2020</t>
  </si>
  <si>
    <t>CAIXA E EQUIVALENTES DE CAIXA</t>
  </si>
  <si>
    <t>Caixa/Bancos</t>
  </si>
  <si>
    <t>Aplicação - BB - Fundo de Renda Fixa</t>
  </si>
  <si>
    <t>Total</t>
  </si>
  <si>
    <t>Contas a Receber a Usuários</t>
  </si>
  <si>
    <t>SEAPORT Serviços Marítimos LTDA.</t>
  </si>
  <si>
    <t>TRACOL Ag. Marítima Transcontinental</t>
  </si>
  <si>
    <t>Outros</t>
  </si>
  <si>
    <t>( - ) Perdas Estimadas com Crédito de liquidação Duvidosa. Vide Nota 3.c)</t>
  </si>
  <si>
    <t>Contas a Receber de Usuários</t>
  </si>
  <si>
    <t>IRPJ retida na fonte</t>
  </si>
  <si>
    <t>IR retido na fonte</t>
  </si>
  <si>
    <t>CSLL retida na fonte</t>
  </si>
  <si>
    <t>Saldo Negativo IRPJ 2020 - Ano-calendário 2019</t>
  </si>
  <si>
    <t>Saldo Negativo CSLL 2020 - Ano-calendário 2019</t>
  </si>
  <si>
    <t>DARFs a maior</t>
  </si>
  <si>
    <t>DEPÓSITOS E CAUÇÕES JUDICIAIS</t>
  </si>
  <si>
    <t>Trabalhistas Recursais</t>
  </si>
  <si>
    <t>Trabalhistas Bloqueados</t>
  </si>
  <si>
    <t>Consignação em Pagamento</t>
  </si>
  <si>
    <t>Bens Móveis</t>
  </si>
  <si>
    <t>Bens Imóveis</t>
  </si>
  <si>
    <t>Imobilizado TMP</t>
  </si>
  <si>
    <t>Obras em Andamento</t>
  </si>
  <si>
    <t>Imobilizado - Convênio CVT</t>
  </si>
  <si>
    <t>Imobilizado - Convênio DNIT</t>
  </si>
  <si>
    <t>Imobilizado - Convênio Monitoramento</t>
  </si>
  <si>
    <t>Redução ao Valor Recuperável</t>
  </si>
  <si>
    <t>Depreciação Acumulada</t>
  </si>
  <si>
    <t>30/set./20</t>
  </si>
  <si>
    <t>01/jul./20</t>
  </si>
  <si>
    <t>Adições</t>
  </si>
  <si>
    <t>Baixas</t>
  </si>
  <si>
    <t>IMOBILIZADO LÍQUIDO</t>
  </si>
  <si>
    <t>QUADRO DE MOVIMENTAÇÕES</t>
  </si>
  <si>
    <t>Provisão de Perda ao Valor Recuperável</t>
  </si>
  <si>
    <t>Edificações</t>
  </si>
  <si>
    <t>Arruamentos e Áreas Pavimentadas</t>
  </si>
  <si>
    <t>Cais e Anexos Fixos</t>
  </si>
  <si>
    <t>Móveis e Utensílios</t>
  </si>
  <si>
    <t>Máquinas e equip.</t>
  </si>
  <si>
    <t>Equip; de Informática</t>
  </si>
  <si>
    <t>Veículos</t>
  </si>
  <si>
    <t>Pier Petroleiro</t>
  </si>
  <si>
    <t>Moderno Sistema de Gravação de CFTV</t>
  </si>
  <si>
    <t>Sistema de Gravação OCR</t>
  </si>
  <si>
    <t>Instalações de prod. Distrib. Energia elétrica</t>
  </si>
  <si>
    <t>Imob.em andam.</t>
  </si>
  <si>
    <t>( -)Depreciação fiscal</t>
  </si>
  <si>
    <t>Outras imobilizações</t>
  </si>
  <si>
    <t>Custo de Aquisição  30/06/2020</t>
  </si>
  <si>
    <t>Depreciação 3º trimestre de 2020</t>
  </si>
  <si>
    <t>ATIVO INTANGÍVEL</t>
  </si>
  <si>
    <t>Intangível</t>
  </si>
  <si>
    <t>Amortização</t>
  </si>
  <si>
    <t>FORNECEDORES DIVERSOS</t>
  </si>
  <si>
    <t>EBC</t>
  </si>
  <si>
    <t>INTELLSISTEMAS</t>
  </si>
  <si>
    <t xml:space="preserve">XL SEGUROS </t>
  </si>
  <si>
    <t>LANLINK SERVIÇOS</t>
  </si>
  <si>
    <t>ISRABRAS</t>
  </si>
  <si>
    <t>OGMO</t>
  </si>
  <si>
    <t>DINÂMICA EMPREENDIMENTOS</t>
  </si>
  <si>
    <t>WN SERVIÇOS</t>
  </si>
  <si>
    <t>SEC DA RECEITA FEDERAL</t>
  </si>
  <si>
    <t>HAPVIDA ASSIST. MÉDICA LTDA.</t>
  </si>
  <si>
    <t>OBRIGAÇÕES TRABALHISTAS - CURTO PRAZO</t>
  </si>
  <si>
    <t>Impostos a Recolher - IN 1.234/12</t>
  </si>
  <si>
    <t>INSS  a Recolher</t>
  </si>
  <si>
    <t>FGTS a Recolher</t>
  </si>
  <si>
    <t>ISS - Imposto Serviços Prestados</t>
  </si>
  <si>
    <t>ISS - Imposto retido na fonte</t>
  </si>
  <si>
    <t>PIS a Recolher</t>
  </si>
  <si>
    <t>COFINS - Contrib. Social Lei Compl. 70/91</t>
  </si>
  <si>
    <t>INSS s/ serviços tomados</t>
  </si>
  <si>
    <t>Assistência Médica</t>
  </si>
  <si>
    <t>Portus – Previdência Privada</t>
  </si>
  <si>
    <t>OBRIGAÇÕES TRABALHISTAS -LONGO PRAZO</t>
  </si>
  <si>
    <t>PARCELAMENTO INSS - CURTO PRAZO</t>
  </si>
  <si>
    <t>Parcelamento INSS</t>
  </si>
  <si>
    <t>PARCELAMENTO INSS - LONGO PRAZO</t>
  </si>
  <si>
    <t>CURTO PRAZO</t>
  </si>
  <si>
    <t>LONGO PRAZO</t>
  </si>
  <si>
    <t>Portus - Termo de Compromisso Financeiro</t>
  </si>
  <si>
    <t>Provisão de Férias</t>
  </si>
  <si>
    <t>Provisão de Encargos Férias</t>
  </si>
  <si>
    <t>Provisão de 13º Salário</t>
  </si>
  <si>
    <t>Provisão de Encargos 13º Salário</t>
  </si>
  <si>
    <t>Depósitos Caucionados</t>
  </si>
  <si>
    <r>
      <t xml:space="preserve">Credores Diversos </t>
    </r>
    <r>
      <rPr>
        <b/>
        <sz val="10"/>
        <color rgb="FF000000"/>
        <rFont val="Arial"/>
        <family val="2"/>
      </rPr>
      <t>Nota 21.a)</t>
    </r>
  </si>
  <si>
    <r>
      <t xml:space="preserve">Credores Diversos - IPTU  </t>
    </r>
    <r>
      <rPr>
        <b/>
        <sz val="10"/>
        <color rgb="FF000000"/>
        <rFont val="Arial"/>
        <family val="2"/>
      </rPr>
      <t>Nota 21.b)</t>
    </r>
  </si>
  <si>
    <t>Credores Diversos - Aforamento</t>
  </si>
  <si>
    <t>AÇÕES JUDICIAIS</t>
  </si>
  <si>
    <r>
      <t xml:space="preserve">Ações Cíveis (Estaduais) </t>
    </r>
    <r>
      <rPr>
        <b/>
        <sz val="10"/>
        <color rgb="FF000000"/>
        <rFont val="Arial"/>
        <family val="2"/>
      </rPr>
      <t>Vide 23.a)</t>
    </r>
  </si>
  <si>
    <r>
      <t xml:space="preserve">Ações Federais </t>
    </r>
    <r>
      <rPr>
        <b/>
        <sz val="10"/>
        <color rgb="FF000000"/>
        <rFont val="Arial"/>
        <family val="2"/>
      </rPr>
      <t>Vide 23.b)</t>
    </r>
  </si>
  <si>
    <r>
      <t xml:space="preserve">Ações Tributárias </t>
    </r>
    <r>
      <rPr>
        <b/>
        <sz val="10"/>
        <color rgb="FF000000"/>
        <rFont val="Arial"/>
        <family val="2"/>
      </rPr>
      <t>Vide 23.b)</t>
    </r>
  </si>
  <si>
    <t>CDC – PÓLO ATIVO (em milhares de reais)</t>
  </si>
  <si>
    <t xml:space="preserve">QUANTIDADE DE AÇÕES </t>
  </si>
  <si>
    <t>PROGNÓSTICO</t>
  </si>
  <si>
    <t>VALOR TOTAL</t>
  </si>
  <si>
    <t>TOTAL GERAL</t>
  </si>
  <si>
    <t>CDC – PÓLO PASSIVO (em milhares de reais)</t>
  </si>
  <si>
    <t>Além das ações judiciais federais elencadas acima, também, constam ações de natureza trabalhista, que totalizam R$ 3 mil.</t>
  </si>
  <si>
    <t>( * )</t>
  </si>
  <si>
    <t>CDC – POLO ATIVO (em milhares de reais)</t>
  </si>
  <si>
    <t>CDC – POLO PASSIVO (em milhares de reais)</t>
  </si>
  <si>
    <t>CRÉDITOS PARA AUMENTO DE CAPITAL (AFAC)</t>
  </si>
  <si>
    <t>NÃO CIRCULANTE</t>
  </si>
  <si>
    <t>GOVERNO ESTADO CEARÁ</t>
  </si>
  <si>
    <t>3º trim  2020</t>
  </si>
  <si>
    <t>3º trim  2019</t>
  </si>
  <si>
    <t>VARIAÇÃO</t>
  </si>
  <si>
    <t>ACUM.  2020</t>
  </si>
  <si>
    <t>ACUM. 2019</t>
  </si>
  <si>
    <t>Utiliz. Da Infra Est. De Proteção e Acesso Aquaviário</t>
  </si>
  <si>
    <t>Utiliz. Das Instalações de Acostagem</t>
  </si>
  <si>
    <t>Utiliz. Da Infra Est. Terrestre</t>
  </si>
  <si>
    <t>Serviços de Armazenagem</t>
  </si>
  <si>
    <t>Serviços Diversos</t>
  </si>
  <si>
    <t>( - ) Cancelamento de Serviços</t>
  </si>
  <si>
    <t>( - ) Impostos Incidentes</t>
  </si>
  <si>
    <t>Utiliz. Da Infra Est. De Prot. e Ac. Aquaviário</t>
  </si>
  <si>
    <t>DESPESAS GERAIS E ADMINISTRATIVAS</t>
  </si>
  <si>
    <t>Despesas com Salários e Encargos</t>
  </si>
  <si>
    <t>Serviços Prestados - Pessoa Física</t>
  </si>
  <si>
    <t>Serviços Prestados - Pessoa Jurídica</t>
  </si>
  <si>
    <t>Despesas com Materiais</t>
  </si>
  <si>
    <t>Despesas Gerais</t>
  </si>
  <si>
    <t>Receitas de Alugueis e Arrendamentos</t>
  </si>
  <si>
    <t>Recuperação de Valores Baixados como perdas em exercícios anteriores</t>
  </si>
  <si>
    <t>Recuperação de Despesas de Exercícios Anteriores</t>
  </si>
  <si>
    <t>Receitas Eventuais</t>
  </si>
  <si>
    <t>Créditos Fiscais Extemporâneos</t>
  </si>
  <si>
    <t>621.01.01.0006</t>
  </si>
  <si>
    <t>CREDITOS FISCAIS - PF E BASES NEGATIVAS CSLL 2006 E 2007</t>
  </si>
  <si>
    <t>621.01.01.0007</t>
  </si>
  <si>
    <t>CREDITOS FISCAIS - PREJUIZO FISCAL ANO- CALENDÁRIO 2014</t>
  </si>
  <si>
    <t>Despesas com Ações Judiciais (Trabalhistas e Cíveis)</t>
  </si>
  <si>
    <t>Reversão de PECLD</t>
  </si>
  <si>
    <t>22.636,01-</t>
  </si>
  <si>
    <t>Débitos Incobráveis - Perdas</t>
  </si>
  <si>
    <t>Despesa Atuarial - PORTUS</t>
  </si>
  <si>
    <t>Contrib. Extraordinária PORTUS</t>
  </si>
  <si>
    <t>DOAÇÕES GOVERNAMENTAIS</t>
  </si>
  <si>
    <t>INDICADORES DE EFETIVIDADE</t>
  </si>
  <si>
    <t>INDICADOR</t>
  </si>
  <si>
    <t>UNID/REF</t>
  </si>
  <si>
    <t>1º trim  2020</t>
  </si>
  <si>
    <t>1º trim  2019</t>
  </si>
  <si>
    <t>VARIAÇÃO %  2020/2019</t>
  </si>
  <si>
    <t>RETORNO DE CAPITAL</t>
  </si>
  <si>
    <t>i/1,00</t>
  </si>
  <si>
    <t>EFICIÊNCIA OPERACIONAL</t>
  </si>
  <si>
    <t>%/&lt;60%</t>
  </si>
  <si>
    <t>EFICIÊNCIA ADMINISTRATIVA</t>
  </si>
  <si>
    <t>%/&gt;30%</t>
  </si>
  <si>
    <t>LIQUIDEZ CORRENTE</t>
  </si>
  <si>
    <t>LIQUIDEZ GERAL</t>
  </si>
  <si>
    <t>COMPOSIÇÃO DO ENDIVIDAMENTO</t>
  </si>
  <si>
    <t xml:space="preserve">   VARIAÇÃO</t>
  </si>
  <si>
    <t>Juros de Usuários</t>
  </si>
  <si>
    <t>Rendimentos em Aplicações Financeiras</t>
  </si>
  <si>
    <t>Juros Atualização Depósitos Judiciais</t>
  </si>
  <si>
    <t>Variações Monetárias de Tributos a Recuperar</t>
  </si>
  <si>
    <t>591.02.01.0005</t>
  </si>
  <si>
    <t>MULTAS E VANTAGENS PELA RESCISÃO DE CONTRATOS</t>
  </si>
  <si>
    <t>591.02.01.0009</t>
  </si>
  <si>
    <t>RENDIMENTOS EM TITULOS PUBLICOS</t>
  </si>
  <si>
    <t>Juros sobre atualização de demais direitos de créditos</t>
  </si>
  <si>
    <t>Descontos Obtidos</t>
  </si>
  <si>
    <t>Outras Receitas Financeiras</t>
  </si>
  <si>
    <t xml:space="preserve">Juros s/atualização de demais obrig. </t>
  </si>
  <si>
    <t>Juros/Multa Atraso Pagametnos</t>
  </si>
  <si>
    <t>Despesas Bancárias Diversas</t>
  </si>
  <si>
    <t>Despesas de Var. Monetárias</t>
  </si>
  <si>
    <t>Despesas com IOF</t>
  </si>
  <si>
    <t>Juros s/atualização de Débitos Tributários</t>
  </si>
  <si>
    <t>Composição</t>
  </si>
  <si>
    <t>Saldo R$ (mil)</t>
  </si>
  <si>
    <t>Saldo Inicial de 2020</t>
  </si>
  <si>
    <t>Prejuízo do Exercício do 1º Trimestre de 2020</t>
  </si>
  <si>
    <t>Prejuízo do Exercício do 3º trimestre de 2020</t>
  </si>
  <si>
    <t>Prejuízo do Exercício do 2º trimestre de 2020</t>
  </si>
  <si>
    <t>Prejuízo do Exercício do 2º Trimestre de 2020</t>
  </si>
  <si>
    <t>01/jul./19</t>
  </si>
  <si>
    <t>30/set./19</t>
  </si>
  <si>
    <t>0,99</t>
  </si>
  <si>
    <t>ENGEMOM - ENGENHARIA INDUSTRIAL E CONSTURÇÕES LTDA</t>
  </si>
  <si>
    <t>Ajustes de Exerc. Anteriores</t>
  </si>
  <si>
    <t>Nota 30</t>
  </si>
  <si>
    <t>Nota 31 a</t>
  </si>
  <si>
    <t>Nota 31  b</t>
  </si>
  <si>
    <t xml:space="preserve"> 30 DE SETEMBRO DE 2020 E 31 DE DEZEMBRO DE 2019</t>
  </si>
  <si>
    <t>CLIENTES (LONGO PRAZO)</t>
  </si>
  <si>
    <t>SEAPORT Serviços Marítimos</t>
  </si>
  <si>
    <t>COOPACE</t>
  </si>
  <si>
    <t xml:space="preserve"> 30 DE SETEMBRO  DE 2020 E 30 DE SETEMBRO DE 2019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</si>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</sst>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  <numFmt numFmtId="169" formatCode="#,##0_ ;\-#,##0\ "/>
  </numFmts>
  <fonts count="49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DE6BA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/>
  </cellStyleXfs>
  <cellXfs count="4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0" fontId="0" fillId="0" borderId="0" xfId="0"/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/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1" fillId="0" borderId="0" xfId="5" applyFont="1" applyAlignment="1">
      <alignment horizontal="right" vertical="center"/>
    </xf>
    <xf numFmtId="0" fontId="12" fillId="0" borderId="0" xfId="5" applyFont="1" applyAlignment="1">
      <alignment horizontal="left" vertical="center"/>
    </xf>
    <xf numFmtId="0" fontId="12" fillId="0" borderId="0" xfId="5" applyFont="1" applyAlignment="1">
      <alignment horizontal="right" vertical="center"/>
    </xf>
    <xf numFmtId="0" fontId="11" fillId="0" borderId="0" xfId="5" applyFont="1" applyAlignment="1">
      <alignment horizontal="left" vertical="center"/>
    </xf>
    <xf numFmtId="0" fontId="10" fillId="0" borderId="0" xfId="5"/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6" applyFont="1"/>
    <xf numFmtId="167" fontId="15" fillId="0" borderId="0" xfId="7" applyFont="1"/>
    <xf numFmtId="165" fontId="18" fillId="0" borderId="0" xfId="6" applyNumberFormat="1" applyFont="1" applyFill="1" applyAlignment="1">
      <alignment horizontal="center"/>
    </xf>
    <xf numFmtId="165" fontId="15" fillId="0" borderId="0" xfId="6" applyNumberFormat="1" applyFont="1" applyFill="1" applyAlignment="1">
      <alignment horizontal="center"/>
    </xf>
    <xf numFmtId="165" fontId="21" fillId="0" borderId="0" xfId="6" applyNumberFormat="1" applyFont="1" applyFill="1" applyAlignment="1">
      <alignment horizontal="center"/>
    </xf>
    <xf numFmtId="37" fontId="15" fillId="0" borderId="0" xfId="0" applyNumberFormat="1" applyFont="1"/>
    <xf numFmtId="0" fontId="22" fillId="0" borderId="0" xfId="0" applyFont="1"/>
    <xf numFmtId="0" fontId="23" fillId="0" borderId="0" xfId="0" applyFont="1"/>
    <xf numFmtId="165" fontId="23" fillId="0" borderId="0" xfId="6" applyNumberFormat="1" applyFont="1" applyFill="1" applyAlignment="1">
      <alignment horizontal="center"/>
    </xf>
    <xf numFmtId="0" fontId="6" fillId="0" borderId="0" xfId="8" applyFont="1"/>
    <xf numFmtId="0" fontId="15" fillId="0" borderId="0" xfId="8" applyFont="1"/>
    <xf numFmtId="0" fontId="20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37" fontId="26" fillId="0" borderId="0" xfId="8" applyNumberFormat="1" applyFont="1"/>
    <xf numFmtId="0" fontId="27" fillId="0" borderId="0" xfId="8" applyFont="1"/>
    <xf numFmtId="165" fontId="26" fillId="0" borderId="0" xfId="8" applyNumberFormat="1" applyFont="1"/>
    <xf numFmtId="165" fontId="25" fillId="0" borderId="0" xfId="8" applyNumberFormat="1" applyFont="1" applyAlignment="1">
      <alignment horizontal="center"/>
    </xf>
    <xf numFmtId="0" fontId="25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8" fillId="0" borderId="0" xfId="9" applyNumberFormat="1" applyFont="1" applyFill="1" applyAlignment="1"/>
    <xf numFmtId="165" fontId="28" fillId="0" borderId="0" xfId="9" applyNumberFormat="1" applyFont="1" applyFill="1"/>
    <xf numFmtId="165" fontId="27" fillId="0" borderId="0" xfId="8" applyNumberFormat="1" applyFont="1"/>
    <xf numFmtId="165" fontId="25" fillId="0" borderId="0" xfId="8" applyNumberFormat="1" applyFont="1"/>
    <xf numFmtId="165" fontId="29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5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0" fillId="0" borderId="0" xfId="0"/>
    <xf numFmtId="0" fontId="30" fillId="0" borderId="0" xfId="5" applyFont="1" applyAlignment="1">
      <alignment horizontal="left" vertical="top"/>
    </xf>
    <xf numFmtId="0" fontId="11" fillId="0" borderId="0" xfId="5" applyFont="1" applyAlignment="1">
      <alignment horizontal="right" vertical="top"/>
    </xf>
    <xf numFmtId="0" fontId="31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1" fillId="3" borderId="0" xfId="8" applyFont="1" applyFill="1"/>
    <xf numFmtId="0" fontId="31" fillId="3" borderId="0" xfId="8" applyFont="1" applyFill="1" applyAlignment="1">
      <alignment horizontal="centerContinuous"/>
    </xf>
    <xf numFmtId="49" fontId="31" fillId="3" borderId="0" xfId="8" applyNumberFormat="1" applyFont="1" applyFill="1" applyAlignment="1">
      <alignment horizontal="right"/>
    </xf>
    <xf numFmtId="0" fontId="32" fillId="3" borderId="1" xfId="8" applyFont="1" applyFill="1" applyBorder="1" applyAlignment="1">
      <alignment horizontal="center"/>
    </xf>
    <xf numFmtId="37" fontId="32" fillId="3" borderId="2" xfId="8" applyNumberFormat="1" applyFont="1" applyFill="1" applyBorder="1" applyAlignment="1">
      <alignment horizontal="center"/>
    </xf>
    <xf numFmtId="0" fontId="32" fillId="3" borderId="1" xfId="8" applyFont="1" applyFill="1" applyBorder="1"/>
    <xf numFmtId="37" fontId="32" fillId="3" borderId="3" xfId="8" applyNumberFormat="1" applyFont="1" applyFill="1" applyBorder="1" applyAlignment="1">
      <alignment horizontal="center"/>
    </xf>
    <xf numFmtId="0" fontId="33" fillId="3" borderId="1" xfId="8" applyFont="1" applyFill="1" applyBorder="1"/>
    <xf numFmtId="165" fontId="33" fillId="3" borderId="1" xfId="8" applyNumberFormat="1" applyFont="1" applyFill="1" applyBorder="1"/>
    <xf numFmtId="165" fontId="33" fillId="3" borderId="1" xfId="6" applyNumberFormat="1" applyFont="1" applyFill="1" applyBorder="1"/>
    <xf numFmtId="0" fontId="31" fillId="3" borderId="1" xfId="8" applyFont="1" applyFill="1" applyBorder="1"/>
    <xf numFmtId="165" fontId="31" fillId="3" borderId="1" xfId="6" applyNumberFormat="1" applyFont="1" applyFill="1" applyBorder="1"/>
    <xf numFmtId="165" fontId="31" fillId="3" borderId="1" xfId="8" applyNumberFormat="1" applyFont="1" applyFill="1" applyBorder="1"/>
    <xf numFmtId="165" fontId="31" fillId="0" borderId="1" xfId="6" applyNumberFormat="1" applyFont="1" applyFill="1" applyBorder="1"/>
    <xf numFmtId="165" fontId="31" fillId="3" borderId="1" xfId="8" applyNumberFormat="1" applyFont="1" applyFill="1" applyBorder="1" applyAlignment="1">
      <alignment wrapText="1"/>
    </xf>
    <xf numFmtId="4" fontId="31" fillId="3" borderId="0" xfId="8" applyNumberFormat="1" applyFont="1" applyFill="1"/>
    <xf numFmtId="165" fontId="31" fillId="3" borderId="0" xfId="8" applyNumberFormat="1" applyFont="1" applyFill="1"/>
    <xf numFmtId="0" fontId="31" fillId="0" borderId="1" xfId="8" applyFont="1" applyBorder="1"/>
    <xf numFmtId="0" fontId="33" fillId="0" borderId="1" xfId="8" applyFont="1" applyBorder="1"/>
    <xf numFmtId="0" fontId="34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horizontal="right" vertical="top"/>
    </xf>
    <xf numFmtId="165" fontId="31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18" fillId="0" borderId="0" xfId="9" applyNumberFormat="1" applyFont="1" applyFill="1" applyAlignment="1">
      <alignment horizontal="center"/>
    </xf>
    <xf numFmtId="165" fontId="15" fillId="0" borderId="0" xfId="9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5" fontId="21" fillId="0" borderId="0" xfId="9" applyNumberFormat="1" applyFont="1" applyFill="1" applyAlignment="1">
      <alignment horizontal="center"/>
    </xf>
    <xf numFmtId="37" fontId="15" fillId="0" borderId="0" xfId="0" applyNumberFormat="1" applyFont="1" applyFill="1"/>
    <xf numFmtId="14" fontId="16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18" fillId="0" borderId="0" xfId="6" applyNumberFormat="1" applyFont="1" applyFill="1"/>
    <xf numFmtId="165" fontId="18" fillId="0" borderId="0" xfId="9" applyNumberFormat="1" applyFont="1" applyFill="1"/>
    <xf numFmtId="0" fontId="15" fillId="0" borderId="0" xfId="0" applyFont="1" applyFill="1"/>
    <xf numFmtId="0" fontId="16" fillId="0" borderId="0" xfId="8" applyFont="1" applyAlignment="1"/>
    <xf numFmtId="165" fontId="15" fillId="0" borderId="0" xfId="0" applyNumberFormat="1" applyFont="1"/>
    <xf numFmtId="0" fontId="0" fillId="0" borderId="0" xfId="0"/>
    <xf numFmtId="0" fontId="6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Fill="1" applyAlignment="1">
      <alignment horizontal="centerContinuous"/>
    </xf>
    <xf numFmtId="0" fontId="17" fillId="0" borderId="0" xfId="0" applyFont="1" applyFill="1"/>
    <xf numFmtId="37" fontId="18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37" fontId="21" fillId="0" borderId="0" xfId="0" applyNumberFormat="1" applyFont="1" applyFill="1"/>
    <xf numFmtId="0" fontId="14" fillId="0" borderId="0" xfId="0" applyFont="1" applyAlignment="1">
      <alignment horizontal="center"/>
    </xf>
    <xf numFmtId="165" fontId="25" fillId="0" borderId="0" xfId="8" applyNumberFormat="1" applyFont="1" applyFill="1" applyAlignment="1">
      <alignment horizontal="center"/>
    </xf>
    <xf numFmtId="165" fontId="26" fillId="0" borderId="0" xfId="8" applyNumberFormat="1" applyFont="1" applyFill="1"/>
    <xf numFmtId="165" fontId="6" fillId="0" borderId="0" xfId="8" applyNumberFormat="1" applyFont="1" applyFill="1"/>
    <xf numFmtId="165" fontId="29" fillId="0" borderId="0" xfId="8" applyNumberFormat="1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0" fillId="0" borderId="0" xfId="0" applyNumberFormat="1" applyFill="1"/>
    <xf numFmtId="0" fontId="6" fillId="0" borderId="0" xfId="2" applyFont="1" applyFill="1"/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5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3" fontId="5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/>
    <xf numFmtId="165" fontId="31" fillId="0" borderId="1" xfId="8" applyNumberFormat="1" applyFont="1" applyFill="1" applyBorder="1"/>
    <xf numFmtId="165" fontId="33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6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3" fontId="6" fillId="0" borderId="0" xfId="12" applyNumberFormat="1" applyFont="1" applyFill="1"/>
    <xf numFmtId="165" fontId="6" fillId="0" borderId="0" xfId="12" applyNumberFormat="1" applyFont="1" applyFill="1"/>
    <xf numFmtId="37" fontId="26" fillId="0" borderId="0" xfId="8" applyNumberFormat="1" applyFont="1" applyFill="1"/>
    <xf numFmtId="0" fontId="25" fillId="0" borderId="0" xfId="8" applyFont="1" applyFill="1" applyAlignment="1">
      <alignment horizontal="center"/>
    </xf>
    <xf numFmtId="165" fontId="25" fillId="0" borderId="0" xfId="8" applyNumberFormat="1" applyFont="1" applyFill="1" applyBorder="1" applyAlignment="1">
      <alignment horizontal="center"/>
    </xf>
    <xf numFmtId="165" fontId="26" fillId="0" borderId="0" xfId="8" applyNumberFormat="1" applyFont="1" applyFill="1" applyAlignment="1"/>
    <xf numFmtId="165" fontId="27" fillId="0" borderId="0" xfId="8" applyNumberFormat="1" applyFont="1" applyFill="1"/>
    <xf numFmtId="165" fontId="25" fillId="0" borderId="0" xfId="8" applyNumberFormat="1" applyFont="1" applyFill="1"/>
    <xf numFmtId="0" fontId="0" fillId="0" borderId="0" xfId="0"/>
    <xf numFmtId="37" fontId="32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8" fillId="0" borderId="0" xfId="0" applyNumberFormat="1" applyFont="1" applyAlignment="1">
      <alignment horizontal="right"/>
    </xf>
    <xf numFmtId="0" fontId="0" fillId="0" borderId="0" xfId="0"/>
    <xf numFmtId="165" fontId="1" fillId="0" borderId="0" xfId="6" applyNumberFormat="1" applyFont="1" applyFill="1" applyAlignment="1">
      <alignment horizontal="center"/>
    </xf>
    <xf numFmtId="166" fontId="1" fillId="0" borderId="0" xfId="6" applyFont="1"/>
    <xf numFmtId="165" fontId="1" fillId="0" borderId="0" xfId="9" applyNumberFormat="1" applyFont="1" applyFill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0" fontId="14" fillId="4" borderId="4" xfId="0" applyFont="1" applyFill="1" applyBorder="1"/>
    <xf numFmtId="14" fontId="14" fillId="4" borderId="4" xfId="0" applyNumberFormat="1" applyFont="1" applyFill="1" applyBorder="1"/>
    <xf numFmtId="10" fontId="0" fillId="0" borderId="0" xfId="0" applyNumberFormat="1"/>
    <xf numFmtId="0" fontId="39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0" fillId="0" borderId="0" xfId="0" applyFill="1" applyBorder="1"/>
    <xf numFmtId="41" fontId="0" fillId="0" borderId="0" xfId="0" applyNumberFormat="1" applyFont="1" applyFill="1" applyBorder="1"/>
    <xf numFmtId="0" fontId="0" fillId="0" borderId="0" xfId="0" applyBorder="1"/>
    <xf numFmtId="169" fontId="0" fillId="0" borderId="0" xfId="0" applyNumberFormat="1" applyFont="1" applyFill="1" applyBorder="1"/>
    <xf numFmtId="3" fontId="0" fillId="2" borderId="0" xfId="0" applyNumberFormat="1" applyFill="1"/>
    <xf numFmtId="41" fontId="0" fillId="0" borderId="0" xfId="0" applyNumberFormat="1"/>
    <xf numFmtId="3" fontId="39" fillId="0" borderId="0" xfId="0" applyNumberFormat="1" applyFont="1" applyAlignment="1">
      <alignment horizontal="right"/>
    </xf>
    <xf numFmtId="0" fontId="39" fillId="0" borderId="0" xfId="0" applyFont="1" applyAlignment="1">
      <alignment horizontal="right"/>
    </xf>
    <xf numFmtId="0" fontId="40" fillId="4" borderId="6" xfId="0" applyFont="1" applyFill="1" applyBorder="1"/>
    <xf numFmtId="0" fontId="40" fillId="4" borderId="6" xfId="0" applyFont="1" applyFill="1" applyBorder="1" applyAlignment="1">
      <alignment horizontal="center" wrapText="1"/>
    </xf>
    <xf numFmtId="0" fontId="40" fillId="4" borderId="5" xfId="0" applyFont="1" applyFill="1" applyBorder="1" applyAlignment="1">
      <alignment horizontal="center"/>
    </xf>
    <xf numFmtId="0" fontId="40" fillId="4" borderId="5" xfId="0" applyFont="1" applyFill="1" applyBorder="1" applyAlignment="1">
      <alignment horizontal="center" wrapText="1"/>
    </xf>
    <xf numFmtId="14" fontId="40" fillId="4" borderId="5" xfId="0" applyNumberFormat="1" applyFont="1" applyFill="1" applyBorder="1" applyAlignment="1">
      <alignment horizontal="center" wrapText="1"/>
    </xf>
    <xf numFmtId="3" fontId="39" fillId="0" borderId="0" xfId="0" applyNumberFormat="1" applyFont="1" applyFill="1" applyBorder="1" applyAlignment="1">
      <alignment horizontal="right"/>
    </xf>
    <xf numFmtId="0" fontId="40" fillId="0" borderId="4" xfId="0" applyFont="1" applyBorder="1" applyAlignment="1">
      <alignment wrapText="1"/>
    </xf>
    <xf numFmtId="3" fontId="40" fillId="0" borderId="4" xfId="0" applyNumberFormat="1" applyFont="1" applyBorder="1" applyAlignment="1">
      <alignment horizontal="right"/>
    </xf>
    <xf numFmtId="1" fontId="39" fillId="0" borderId="0" xfId="0" applyNumberFormat="1" applyFont="1" applyAlignment="1">
      <alignment horizontal="right"/>
    </xf>
    <xf numFmtId="3" fontId="39" fillId="0" borderId="0" xfId="0" applyNumberFormat="1" applyFont="1" applyFill="1" applyAlignment="1">
      <alignment horizontal="right"/>
    </xf>
    <xf numFmtId="3" fontId="40" fillId="0" borderId="4" xfId="0" applyNumberFormat="1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14" fillId="0" borderId="5" xfId="0" applyFont="1" applyBorder="1"/>
    <xf numFmtId="3" fontId="0" fillId="0" borderId="5" xfId="0" applyNumberFormat="1" applyBorder="1"/>
    <xf numFmtId="3" fontId="14" fillId="0" borderId="5" xfId="0" applyNumberFormat="1" applyFont="1" applyBorder="1"/>
    <xf numFmtId="0" fontId="40" fillId="5" borderId="7" xfId="0" applyFont="1" applyFill="1" applyBorder="1"/>
    <xf numFmtId="14" fontId="40" fillId="5" borderId="7" xfId="0" applyNumberFormat="1" applyFont="1" applyFill="1" applyBorder="1" applyAlignment="1">
      <alignment horizontal="right"/>
    </xf>
    <xf numFmtId="0" fontId="39" fillId="0" borderId="0" xfId="0" applyFont="1" applyAlignment="1">
      <alignment horizontal="justify"/>
    </xf>
    <xf numFmtId="0" fontId="39" fillId="6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39" fillId="6" borderId="0" xfId="0" applyFont="1" applyFill="1" applyAlignment="1">
      <alignment wrapText="1"/>
    </xf>
    <xf numFmtId="3" fontId="39" fillId="6" borderId="5" xfId="0" applyNumberFormat="1" applyFont="1" applyFill="1" applyBorder="1" applyAlignment="1">
      <alignment horizontal="right"/>
    </xf>
    <xf numFmtId="0" fontId="40" fillId="0" borderId="7" xfId="0" applyFont="1" applyBorder="1"/>
    <xf numFmtId="3" fontId="40" fillId="0" borderId="5" xfId="0" applyNumberFormat="1" applyFont="1" applyBorder="1" applyAlignment="1">
      <alignment horizontal="right"/>
    </xf>
    <xf numFmtId="0" fontId="39" fillId="6" borderId="5" xfId="0" applyFont="1" applyFill="1" applyBorder="1" applyAlignment="1">
      <alignment horizontal="right"/>
    </xf>
    <xf numFmtId="0" fontId="40" fillId="0" borderId="5" xfId="0" applyFont="1" applyBorder="1" applyAlignment="1">
      <alignment horizontal="right"/>
    </xf>
    <xf numFmtId="0" fontId="14" fillId="4" borderId="0" xfId="0" applyFont="1" applyFill="1" applyBorder="1"/>
    <xf numFmtId="0" fontId="40" fillId="0" borderId="5" xfId="0" applyFont="1" applyBorder="1"/>
    <xf numFmtId="3" fontId="39" fillId="6" borderId="0" xfId="0" applyNumberFormat="1" applyFont="1" applyFill="1" applyAlignment="1">
      <alignment horizontal="right"/>
    </xf>
    <xf numFmtId="3" fontId="40" fillId="5" borderId="7" xfId="0" applyNumberFormat="1" applyFont="1" applyFill="1" applyBorder="1" applyAlignment="1">
      <alignment horizontal="right"/>
    </xf>
    <xf numFmtId="3" fontId="39" fillId="6" borderId="0" xfId="0" applyNumberFormat="1" applyFont="1" applyFill="1" applyBorder="1" applyAlignment="1">
      <alignment horizontal="right"/>
    </xf>
    <xf numFmtId="0" fontId="39" fillId="6" borderId="0" xfId="0" applyFont="1" applyFill="1" applyBorder="1" applyAlignment="1">
      <alignment wrapText="1"/>
    </xf>
    <xf numFmtId="0" fontId="39" fillId="0" borderId="0" xfId="0" applyFont="1" applyBorder="1"/>
    <xf numFmtId="0" fontId="39" fillId="0" borderId="5" xfId="0" applyFont="1" applyBorder="1"/>
    <xf numFmtId="0" fontId="39" fillId="0" borderId="5" xfId="0" applyFont="1" applyBorder="1" applyAlignment="1">
      <alignment horizontal="justify"/>
    </xf>
    <xf numFmtId="3" fontId="39" fillId="0" borderId="5" xfId="0" applyNumberFormat="1" applyFont="1" applyBorder="1"/>
    <xf numFmtId="3" fontId="39" fillId="6" borderId="0" xfId="0" applyNumberFormat="1" applyFont="1" applyFill="1" applyBorder="1" applyAlignment="1">
      <alignment wrapText="1"/>
    </xf>
    <xf numFmtId="3" fontId="40" fillId="0" borderId="5" xfId="0" applyNumberFormat="1" applyFont="1" applyBorder="1"/>
    <xf numFmtId="0" fontId="39" fillId="0" borderId="0" xfId="0" applyFont="1" applyBorder="1" applyAlignment="1">
      <alignment horizontal="justify"/>
    </xf>
    <xf numFmtId="3" fontId="39" fillId="0" borderId="0" xfId="0" applyNumberFormat="1" applyFont="1" applyBorder="1"/>
    <xf numFmtId="3" fontId="40" fillId="0" borderId="7" xfId="0" applyNumberFormat="1" applyFont="1" applyBorder="1"/>
    <xf numFmtId="0" fontId="0" fillId="0" borderId="0" xfId="0"/>
    <xf numFmtId="0" fontId="40" fillId="0" borderId="7" xfId="0" applyFont="1" applyBorder="1" applyAlignment="1">
      <alignment horizontal="justify"/>
    </xf>
    <xf numFmtId="0" fontId="14" fillId="0" borderId="7" xfId="0" applyFont="1" applyBorder="1"/>
    <xf numFmtId="3" fontId="14" fillId="0" borderId="7" xfId="0" applyNumberFormat="1" applyFont="1" applyBorder="1"/>
    <xf numFmtId="0" fontId="0" fillId="0" borderId="7" xfId="0" applyBorder="1"/>
    <xf numFmtId="0" fontId="40" fillId="5" borderId="7" xfId="0" applyFont="1" applyFill="1" applyBorder="1" applyAlignment="1">
      <alignment horizontal="center" wrapText="1"/>
    </xf>
    <xf numFmtId="0" fontId="40" fillId="5" borderId="7" xfId="0" applyFont="1" applyFill="1" applyBorder="1" applyAlignment="1">
      <alignment horizontal="right"/>
    </xf>
    <xf numFmtId="0" fontId="6" fillId="0" borderId="0" xfId="0" applyFont="1"/>
    <xf numFmtId="0" fontId="39" fillId="0" borderId="0" xfId="0" applyFont="1" applyAlignment="1">
      <alignment horizontal="center"/>
    </xf>
    <xf numFmtId="0" fontId="39" fillId="0" borderId="5" xfId="0" applyFont="1" applyBorder="1" applyAlignment="1">
      <alignment horizontal="center"/>
    </xf>
    <xf numFmtId="3" fontId="39" fillId="0" borderId="5" xfId="0" applyNumberFormat="1" applyFont="1" applyBorder="1" applyAlignment="1">
      <alignment horizontal="right"/>
    </xf>
    <xf numFmtId="0" fontId="40" fillId="0" borderId="5" xfId="0" applyFont="1" applyBorder="1" applyAlignment="1">
      <alignment horizontal="center"/>
    </xf>
    <xf numFmtId="0" fontId="42" fillId="0" borderId="0" xfId="0" applyFont="1"/>
    <xf numFmtId="0" fontId="41" fillId="0" borderId="0" xfId="0" applyFont="1" applyAlignment="1">
      <alignment wrapText="1"/>
    </xf>
    <xf numFmtId="3" fontId="39" fillId="0" borderId="0" xfId="0" applyNumberFormat="1" applyFont="1" applyAlignment="1">
      <alignment horizontal="right"/>
    </xf>
    <xf numFmtId="3" fontId="40" fillId="0" borderId="7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0" fillId="0" borderId="0" xfId="0"/>
    <xf numFmtId="0" fontId="40" fillId="5" borderId="7" xfId="0" applyFont="1" applyFill="1" applyBorder="1" applyAlignment="1">
      <alignment horizontal="right"/>
    </xf>
    <xf numFmtId="0" fontId="40" fillId="0" borderId="0" xfId="0" applyFont="1" applyAlignment="1">
      <alignment wrapText="1"/>
    </xf>
    <xf numFmtId="3" fontId="40" fillId="0" borderId="0" xfId="0" applyNumberFormat="1" applyFont="1" applyAlignment="1">
      <alignment horizontal="right" wrapText="1"/>
    </xf>
    <xf numFmtId="0" fontId="39" fillId="0" borderId="0" xfId="0" applyFont="1" applyAlignment="1">
      <alignment horizontal="left" indent="2"/>
    </xf>
    <xf numFmtId="3" fontId="39" fillId="0" borderId="0" xfId="0" applyNumberFormat="1" applyFont="1" applyAlignment="1">
      <alignment horizontal="right"/>
    </xf>
    <xf numFmtId="0" fontId="40" fillId="5" borderId="7" xfId="0" applyFont="1" applyFill="1" applyBorder="1" applyAlignment="1">
      <alignment wrapText="1"/>
    </xf>
    <xf numFmtId="0" fontId="40" fillId="5" borderId="7" xfId="0" applyFont="1" applyFill="1" applyBorder="1" applyAlignment="1">
      <alignment horizontal="right" wrapText="1"/>
    </xf>
    <xf numFmtId="3" fontId="0" fillId="0" borderId="0" xfId="0" applyNumberFormat="1" applyFont="1" applyFill="1"/>
    <xf numFmtId="10" fontId="39" fillId="0" borderId="0" xfId="0" applyNumberFormat="1" applyFont="1" applyAlignment="1">
      <alignment horizontal="right" wrapText="1"/>
    </xf>
    <xf numFmtId="0" fontId="39" fillId="0" borderId="0" xfId="0" applyFont="1"/>
    <xf numFmtId="3" fontId="0" fillId="0" borderId="0" xfId="0" applyNumberFormat="1" applyFont="1" applyFill="1" applyAlignment="1">
      <alignment horizontal="right" vertical="center"/>
    </xf>
    <xf numFmtId="0" fontId="40" fillId="0" borderId="7" xfId="0" applyFont="1" applyBorder="1" applyAlignment="1">
      <alignment horizontal="justify" wrapText="1"/>
    </xf>
    <xf numFmtId="3" fontId="40" fillId="0" borderId="7" xfId="0" applyNumberFormat="1" applyFont="1" applyBorder="1" applyAlignment="1">
      <alignment horizontal="right" wrapText="1"/>
    </xf>
    <xf numFmtId="10" fontId="40" fillId="0" borderId="7" xfId="0" applyNumberFormat="1" applyFont="1" applyBorder="1" applyAlignment="1">
      <alignment horizontal="right" wrapText="1"/>
    </xf>
    <xf numFmtId="10" fontId="39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/>
    <xf numFmtId="0" fontId="40" fillId="5" borderId="7" xfId="0" applyFont="1" applyFill="1" applyBorder="1" applyAlignment="1">
      <alignment horizontal="right"/>
    </xf>
    <xf numFmtId="0" fontId="0" fillId="0" borderId="0" xfId="0"/>
    <xf numFmtId="0" fontId="0" fillId="2" borderId="0" xfId="0" applyFill="1"/>
    <xf numFmtId="3" fontId="39" fillId="0" borderId="0" xfId="0" applyNumberFormat="1" applyFont="1" applyAlignment="1">
      <alignment horizontal="right"/>
    </xf>
    <xf numFmtId="0" fontId="6" fillId="0" borderId="0" xfId="0" applyFont="1"/>
    <xf numFmtId="0" fontId="43" fillId="0" borderId="13" xfId="0" applyFont="1" applyBorder="1"/>
    <xf numFmtId="0" fontId="43" fillId="0" borderId="13" xfId="0" applyFont="1" applyBorder="1" applyAlignment="1">
      <alignment horizontal="right"/>
    </xf>
    <xf numFmtId="0" fontId="43" fillId="0" borderId="14" xfId="0" applyFont="1" applyBorder="1" applyAlignment="1">
      <alignment horizontal="right" vertical="top" wrapText="1"/>
    </xf>
    <xf numFmtId="0" fontId="43" fillId="0" borderId="15" xfId="0" applyFont="1" applyBorder="1" applyAlignment="1">
      <alignment horizontal="right" vertical="top" wrapText="1"/>
    </xf>
    <xf numFmtId="10" fontId="43" fillId="0" borderId="15" xfId="0" applyNumberFormat="1" applyFont="1" applyBorder="1" applyAlignment="1">
      <alignment horizontal="right" vertical="top" wrapText="1"/>
    </xf>
    <xf numFmtId="0" fontId="43" fillId="0" borderId="16" xfId="0" applyFont="1" applyBorder="1"/>
    <xf numFmtId="0" fontId="43" fillId="0" borderId="16" xfId="0" applyFont="1" applyBorder="1" applyAlignment="1">
      <alignment horizontal="right"/>
    </xf>
    <xf numFmtId="0" fontId="43" fillId="0" borderId="11" xfId="0" applyFont="1" applyBorder="1" applyAlignment="1">
      <alignment horizontal="right" vertical="top" wrapText="1"/>
    </xf>
    <xf numFmtId="0" fontId="43" fillId="0" borderId="12" xfId="0" applyFont="1" applyBorder="1" applyAlignment="1">
      <alignment horizontal="right" vertical="top" wrapText="1"/>
    </xf>
    <xf numFmtId="10" fontId="43" fillId="0" borderId="12" xfId="0" applyNumberFormat="1" applyFont="1" applyBorder="1" applyAlignment="1">
      <alignment horizontal="right" vertical="top" wrapText="1"/>
    </xf>
    <xf numFmtId="0" fontId="40" fillId="4" borderId="7" xfId="0" applyFont="1" applyFill="1" applyBorder="1" applyAlignment="1">
      <alignment horizontal="right" wrapText="1"/>
    </xf>
    <xf numFmtId="0" fontId="40" fillId="4" borderId="11" xfId="0" applyFont="1" applyFill="1" applyBorder="1" applyAlignment="1">
      <alignment horizontal="center"/>
    </xf>
    <xf numFmtId="0" fontId="40" fillId="4" borderId="12" xfId="0" applyFont="1" applyFill="1" applyBorder="1" applyAlignment="1">
      <alignment horizontal="center"/>
    </xf>
    <xf numFmtId="0" fontId="40" fillId="4" borderId="12" xfId="0" applyFont="1" applyFill="1" applyBorder="1" applyAlignment="1">
      <alignment horizontal="center" wrapText="1"/>
    </xf>
    <xf numFmtId="0" fontId="43" fillId="0" borderId="18" xfId="0" applyFont="1" applyBorder="1" applyAlignment="1">
      <alignment horizontal="right"/>
    </xf>
    <xf numFmtId="2" fontId="43" fillId="0" borderId="15" xfId="0" applyNumberFormat="1" applyFont="1" applyBorder="1" applyAlignment="1">
      <alignment horizontal="right" vertical="top" wrapText="1"/>
    </xf>
    <xf numFmtId="10" fontId="43" fillId="0" borderId="14" xfId="0" applyNumberFormat="1" applyFont="1" applyBorder="1" applyAlignment="1">
      <alignment horizontal="right" vertical="top" wrapText="1"/>
    </xf>
    <xf numFmtId="0" fontId="43" fillId="0" borderId="14" xfId="0" applyFont="1" applyBorder="1" applyAlignment="1">
      <alignment horizontal="right"/>
    </xf>
    <xf numFmtId="0" fontId="43" fillId="0" borderId="11" xfId="0" applyFont="1" applyBorder="1" applyAlignment="1">
      <alignment horizontal="right"/>
    </xf>
    <xf numFmtId="2" fontId="43" fillId="0" borderId="12" xfId="0" applyNumberFormat="1" applyFont="1" applyBorder="1" applyAlignment="1">
      <alignment horizontal="right" vertical="top" wrapText="1"/>
    </xf>
    <xf numFmtId="10" fontId="43" fillId="0" borderId="11" xfId="0" applyNumberFormat="1" applyFont="1" applyBorder="1" applyAlignment="1">
      <alignment horizontal="right" vertical="top" wrapText="1"/>
    </xf>
    <xf numFmtId="0" fontId="40" fillId="4" borderId="17" xfId="0" applyFont="1" applyFill="1" applyBorder="1" applyAlignment="1">
      <alignment horizontal="center"/>
    </xf>
    <xf numFmtId="0" fontId="40" fillId="4" borderId="17" xfId="0" applyFont="1" applyFill="1" applyBorder="1" applyAlignment="1">
      <alignment horizontal="center" wrapText="1"/>
    </xf>
    <xf numFmtId="0" fontId="40" fillId="0" borderId="7" xfId="0" applyFont="1" applyBorder="1" applyAlignment="1">
      <alignment horizontal="right"/>
    </xf>
    <xf numFmtId="10" fontId="40" fillId="0" borderId="7" xfId="0" applyNumberFormat="1" applyFont="1" applyBorder="1" applyAlignment="1">
      <alignment horizontal="right"/>
    </xf>
    <xf numFmtId="3" fontId="0" fillId="0" borderId="0" xfId="0" applyNumberFormat="1" applyFill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0" fillId="0" borderId="0" xfId="0" applyNumberFormat="1" applyFill="1" applyAlignment="1">
      <alignment horizontal="left" vertical="center" wrapText="1"/>
    </xf>
    <xf numFmtId="0" fontId="0" fillId="0" borderId="0" xfId="0"/>
    <xf numFmtId="0" fontId="39" fillId="0" borderId="5" xfId="0" applyFont="1" applyBorder="1" applyAlignment="1">
      <alignment horizontal="right"/>
    </xf>
    <xf numFmtId="0" fontId="14" fillId="0" borderId="0" xfId="0" applyFont="1" applyAlignment="1">
      <alignment horizontal="justify"/>
    </xf>
    <xf numFmtId="0" fontId="47" fillId="0" borderId="0" xfId="13" applyFont="1" applyAlignment="1">
      <alignment horizontal="left" vertical="center"/>
    </xf>
    <xf numFmtId="0" fontId="46" fillId="0" borderId="0" xfId="13"/>
    <xf numFmtId="0" fontId="47" fillId="0" borderId="0" xfId="13" applyFont="1" applyAlignment="1">
      <alignment horizontal="right" vertical="center"/>
    </xf>
    <xf numFmtId="0" fontId="48" fillId="0" borderId="0" xfId="13" applyFont="1" applyAlignment="1">
      <alignment horizontal="left" vertical="center"/>
    </xf>
    <xf numFmtId="0" fontId="48" fillId="0" borderId="0" xfId="13" applyFont="1" applyAlignment="1">
      <alignment horizontal="right" vertical="center"/>
    </xf>
    <xf numFmtId="0" fontId="48" fillId="2" borderId="0" xfId="13" applyFont="1" applyFill="1" applyAlignment="1">
      <alignment horizontal="left" vertical="center"/>
    </xf>
    <xf numFmtId="0" fontId="48" fillId="2" borderId="0" xfId="13" applyFont="1" applyFill="1" applyAlignment="1">
      <alignment horizontal="right" vertical="center"/>
    </xf>
    <xf numFmtId="0" fontId="46" fillId="2" borderId="0" xfId="13" applyFill="1"/>
    <xf numFmtId="0" fontId="48" fillId="0" borderId="0" xfId="13" applyFont="1" applyFill="1" applyAlignment="1">
      <alignment horizontal="left" vertical="center"/>
    </xf>
    <xf numFmtId="0" fontId="48" fillId="0" borderId="0" xfId="13" applyFont="1" applyFill="1" applyAlignment="1">
      <alignment horizontal="right" vertical="center"/>
    </xf>
    <xf numFmtId="0" fontId="46" fillId="0" borderId="0" xfId="13" applyFill="1"/>
    <xf numFmtId="0" fontId="0" fillId="0" borderId="0" xfId="0"/>
    <xf numFmtId="3" fontId="39" fillId="0" borderId="5" xfId="0" applyNumberFormat="1" applyFont="1" applyBorder="1" applyAlignment="1">
      <alignment horizontal="right"/>
    </xf>
    <xf numFmtId="0" fontId="0" fillId="0" borderId="0" xfId="0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15" fillId="0" borderId="0" xfId="6" applyFont="1" applyFill="1"/>
    <xf numFmtId="167" fontId="15" fillId="0" borderId="0" xfId="7" applyFont="1" applyFill="1"/>
    <xf numFmtId="0" fontId="17" fillId="0" borderId="0" xfId="0" applyFont="1" applyFill="1" applyAlignment="1">
      <alignment horizontal="left"/>
    </xf>
    <xf numFmtId="166" fontId="15" fillId="0" borderId="0" xfId="6" applyFont="1" applyFill="1" applyAlignment="1">
      <alignment horizontal="center"/>
    </xf>
    <xf numFmtId="167" fontId="15" fillId="0" borderId="0" xfId="7" applyFont="1" applyFill="1" applyAlignment="1">
      <alignment horizontal="left"/>
    </xf>
    <xf numFmtId="14" fontId="7" fillId="0" borderId="0" xfId="0" applyNumberFormat="1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/>
    </xf>
    <xf numFmtId="167" fontId="18" fillId="0" borderId="0" xfId="7" applyFont="1" applyFill="1"/>
    <xf numFmtId="167" fontId="18" fillId="0" borderId="0" xfId="7" quotePrefix="1" applyFont="1" applyFill="1"/>
    <xf numFmtId="10" fontId="15" fillId="0" borderId="0" xfId="6" applyNumberFormat="1" applyFont="1" applyFill="1"/>
    <xf numFmtId="166" fontId="19" fillId="0" borderId="0" xfId="6" applyFont="1" applyFill="1"/>
    <xf numFmtId="0" fontId="6" fillId="0" borderId="0" xfId="8" applyFont="1" applyFill="1"/>
    <xf numFmtId="0" fontId="36" fillId="0" borderId="0" xfId="0" applyFont="1" applyFill="1" applyAlignment="1">
      <alignment horizontal="center"/>
    </xf>
    <xf numFmtId="0" fontId="37" fillId="0" borderId="0" xfId="8" applyFont="1" applyFill="1"/>
    <xf numFmtId="0" fontId="14" fillId="0" borderId="0" xfId="0" applyFont="1" applyFill="1" applyAlignment="1">
      <alignment horizontal="center"/>
    </xf>
    <xf numFmtId="0" fontId="6" fillId="0" borderId="0" xfId="8" applyFont="1" applyFill="1" applyAlignment="1">
      <alignment horizontal="center"/>
    </xf>
    <xf numFmtId="49" fontId="6" fillId="0" borderId="0" xfId="8" applyNumberFormat="1" applyFont="1" applyFill="1" applyAlignment="1">
      <alignment horizontal="center"/>
    </xf>
    <xf numFmtId="0" fontId="27" fillId="0" borderId="0" xfId="8" applyFont="1" applyFill="1"/>
    <xf numFmtId="0" fontId="25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5" fillId="0" borderId="0" xfId="8" quotePrefix="1" applyNumberFormat="1" applyFont="1" applyFill="1"/>
    <xf numFmtId="168" fontId="25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/>
    <xf numFmtId="165" fontId="31" fillId="0" borderId="1" xfId="8" applyNumberFormat="1" applyFont="1" applyFill="1" applyBorder="1" applyAlignment="1">
      <alignment wrapText="1"/>
    </xf>
    <xf numFmtId="0" fontId="31" fillId="0" borderId="0" xfId="8" applyFont="1" applyFill="1"/>
    <xf numFmtId="165" fontId="31" fillId="0" borderId="0" xfId="8" applyNumberFormat="1" applyFont="1" applyFill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48" fillId="0" borderId="0" xfId="13" applyFont="1" applyAlignment="1">
      <alignment horizontal="left" vertical="center"/>
    </xf>
    <xf numFmtId="0" fontId="46" fillId="0" borderId="0" xfId="13"/>
    <xf numFmtId="0" fontId="48" fillId="2" borderId="0" xfId="13" applyFont="1" applyFill="1" applyAlignment="1">
      <alignment horizontal="left" vertical="center"/>
    </xf>
    <xf numFmtId="0" fontId="46" fillId="2" borderId="0" xfId="13" applyFill="1"/>
    <xf numFmtId="0" fontId="48" fillId="0" borderId="0" xfId="13" applyFont="1" applyFill="1" applyAlignment="1">
      <alignment horizontal="left" vertical="center"/>
    </xf>
    <xf numFmtId="0" fontId="46" fillId="0" borderId="0" xfId="13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1" fillId="0" borderId="0" xfId="5" applyFont="1" applyAlignment="1">
      <alignment horizontal="left" vertical="center"/>
    </xf>
    <xf numFmtId="0" fontId="10" fillId="0" borderId="0" xfId="5"/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16" fillId="0" borderId="0" xfId="8" applyFont="1" applyAlignment="1">
      <alignment horizontal="center"/>
    </xf>
    <xf numFmtId="0" fontId="6" fillId="0" borderId="0" xfId="8" applyFont="1" applyFill="1" applyAlignment="1">
      <alignment horizontal="center" wrapText="1"/>
    </xf>
    <xf numFmtId="0" fontId="16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35" fillId="0" borderId="0" xfId="0" applyFont="1" applyAlignment="1">
      <alignment horizontal="left" vertical="top"/>
    </xf>
    <xf numFmtId="37" fontId="32" fillId="3" borderId="1" xfId="8" applyNumberFormat="1" applyFont="1" applyFill="1" applyBorder="1" applyAlignment="1">
      <alignment horizontal="center"/>
    </xf>
    <xf numFmtId="0" fontId="14" fillId="0" borderId="0" xfId="8" applyFont="1" applyAlignment="1">
      <alignment horizontal="center"/>
    </xf>
    <xf numFmtId="0" fontId="14" fillId="3" borderId="0" xfId="8" applyFont="1" applyFill="1" applyAlignment="1">
      <alignment horizontal="center"/>
    </xf>
    <xf numFmtId="0" fontId="1" fillId="3" borderId="0" xfId="8" applyFill="1"/>
    <xf numFmtId="0" fontId="40" fillId="4" borderId="6" xfId="0" applyFont="1" applyFill="1" applyBorder="1" applyAlignment="1">
      <alignment horizontal="center"/>
    </xf>
    <xf numFmtId="0" fontId="36" fillId="0" borderId="8" xfId="0" applyFont="1" applyBorder="1" applyAlignment="1">
      <alignment horizontal="justify"/>
    </xf>
    <xf numFmtId="0" fontId="36" fillId="0" borderId="0" xfId="0" applyFont="1" applyAlignment="1">
      <alignment horizontal="justify"/>
    </xf>
    <xf numFmtId="0" fontId="42" fillId="0" borderId="8" xfId="0" applyFont="1" applyBorder="1"/>
    <xf numFmtId="0" fontId="42" fillId="0" borderId="0" xfId="0" applyFont="1"/>
    <xf numFmtId="3" fontId="39" fillId="0" borderId="8" xfId="0" applyNumberFormat="1" applyFont="1" applyBorder="1" applyAlignment="1">
      <alignment horizontal="right"/>
    </xf>
    <xf numFmtId="0" fontId="40" fillId="5" borderId="7" xfId="0" applyFont="1" applyFill="1" applyBorder="1" applyAlignment="1">
      <alignment horizontal="right"/>
    </xf>
    <xf numFmtId="3" fontId="40" fillId="0" borderId="7" xfId="0" applyNumberFormat="1" applyFont="1" applyBorder="1" applyAlignment="1">
      <alignment horizontal="right"/>
    </xf>
    <xf numFmtId="3" fontId="39" fillId="0" borderId="0" xfId="0" applyNumberFormat="1" applyFont="1" applyAlignment="1">
      <alignment horizontal="right"/>
    </xf>
    <xf numFmtId="3" fontId="39" fillId="0" borderId="5" xfId="0" applyNumberFormat="1" applyFont="1" applyBorder="1" applyAlignment="1">
      <alignment horizontal="right"/>
    </xf>
    <xf numFmtId="0" fontId="42" fillId="0" borderId="8" xfId="0" applyFont="1" applyBorder="1" applyAlignment="1">
      <alignment horizontal="justify"/>
    </xf>
    <xf numFmtId="0" fontId="42" fillId="0" borderId="0" xfId="0" applyFont="1" applyAlignment="1">
      <alignment horizontal="justify"/>
    </xf>
    <xf numFmtId="0" fontId="6" fillId="0" borderId="0" xfId="0" applyFont="1"/>
    <xf numFmtId="0" fontId="6" fillId="0" borderId="5" xfId="0" applyFont="1" applyBorder="1"/>
    <xf numFmtId="0" fontId="39" fillId="0" borderId="8" xfId="0" applyFont="1" applyBorder="1" applyAlignment="1">
      <alignment horizontal="right"/>
    </xf>
    <xf numFmtId="0" fontId="40" fillId="4" borderId="9" xfId="0" applyFont="1" applyFill="1" applyBorder="1" applyAlignment="1">
      <alignment horizontal="center"/>
    </xf>
    <xf numFmtId="0" fontId="40" fillId="4" borderId="7" xfId="0" applyFont="1" applyFill="1" applyBorder="1" applyAlignment="1">
      <alignment horizontal="center"/>
    </xf>
    <xf numFmtId="0" fontId="40" fillId="4" borderId="10" xfId="0" applyFont="1" applyFill="1" applyBorder="1" applyAlignment="1">
      <alignment horizontal="center"/>
    </xf>
  </cellXfs>
  <cellStyles count="14">
    <cellStyle name="Moeda 2" xfId="7"/>
    <cellStyle name="Normal" xfId="0" builtinId="0"/>
    <cellStyle name="Normal 2" xfId="4"/>
    <cellStyle name="Normal 2 2" xfId="8"/>
    <cellStyle name="Normal 3" xfId="5"/>
    <cellStyle name="Normal 3 2" xfId="10"/>
    <cellStyle name="Normal 4" xfId="11"/>
    <cellStyle name="Normal 5" xfId="13"/>
    <cellStyle name="Normal_DFC MIL E MILHARES DE REAIS 2" xfId="2"/>
    <cellStyle name="Separador de milhares 2" xfId="9"/>
    <cellStyle name="Separador de milhares_DFC MIL E MILHARES DE REAIS 2" xfId="12"/>
    <cellStyle name="Separador de milhares_DFC MIL E MILHARES DE REAIS 2 2" xfId="1"/>
    <cellStyle name="Separador de milhares_DFC MIL E MILHARES DE REAIS 2 3" xfId="3"/>
    <cellStyle name="Vírgula 2" xfId="6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123</xdr:row>
      <xdr:rowOff>19050</xdr:rowOff>
    </xdr:from>
    <xdr:to>
      <xdr:col>7</xdr:col>
      <xdr:colOff>419100</xdr:colOff>
      <xdr:row>128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23212425"/>
          <a:ext cx="6019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135</xdr:row>
      <xdr:rowOff>0</xdr:rowOff>
    </xdr:from>
    <xdr:to>
      <xdr:col>5</xdr:col>
      <xdr:colOff>1171575</xdr:colOff>
      <xdr:row>149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22793325"/>
          <a:ext cx="5572125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6</xdr:col>
      <xdr:colOff>152400</xdr:colOff>
      <xdr:row>152</xdr:row>
      <xdr:rowOff>76200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26374725"/>
          <a:ext cx="57531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6</xdr:col>
      <xdr:colOff>361950</xdr:colOff>
      <xdr:row>175</xdr:row>
      <xdr:rowOff>19050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F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26879550"/>
          <a:ext cx="59626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194</xdr:row>
      <xdr:rowOff>0</xdr:rowOff>
    </xdr:from>
    <xdr:to>
      <xdr:col>17</xdr:col>
      <xdr:colOff>190500</xdr:colOff>
      <xdr:row>201</xdr:row>
      <xdr:rowOff>152400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F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763125" y="32737425"/>
          <a:ext cx="56102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504825</xdr:colOff>
      <xdr:row>214</xdr:row>
      <xdr:rowOff>9525</xdr:rowOff>
    </xdr:from>
    <xdr:to>
      <xdr:col>16</xdr:col>
      <xdr:colOff>581025</xdr:colOff>
      <xdr:row>221</xdr:row>
      <xdr:rowOff>76200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F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67950" y="36195000"/>
          <a:ext cx="48101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847725</xdr:colOff>
      <xdr:row>235</xdr:row>
      <xdr:rowOff>123825</xdr:rowOff>
    </xdr:from>
    <xdr:to>
      <xdr:col>19</xdr:col>
      <xdr:colOff>314325</xdr:colOff>
      <xdr:row>242</xdr:row>
      <xdr:rowOff>123825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F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610850" y="39585900"/>
          <a:ext cx="61722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295275</xdr:colOff>
      <xdr:row>246</xdr:row>
      <xdr:rowOff>104775</xdr:rowOff>
    </xdr:from>
    <xdr:to>
      <xdr:col>17</xdr:col>
      <xdr:colOff>314325</xdr:colOff>
      <xdr:row>254</xdr:row>
      <xdr:rowOff>28575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F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448800" y="41509950"/>
          <a:ext cx="61150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1076325</xdr:colOff>
      <xdr:row>277</xdr:row>
      <xdr:rowOff>142875</xdr:rowOff>
    </xdr:from>
    <xdr:to>
      <xdr:col>19</xdr:col>
      <xdr:colOff>209550</xdr:colOff>
      <xdr:row>295</xdr:row>
      <xdr:rowOff>152400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F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010900" y="46624875"/>
          <a:ext cx="5838825" cy="292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315</xdr:row>
      <xdr:rowOff>0</xdr:rowOff>
    </xdr:from>
    <xdr:to>
      <xdr:col>6</xdr:col>
      <xdr:colOff>571500</xdr:colOff>
      <xdr:row>334</xdr:row>
      <xdr:rowOff>66675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F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28600" y="52673250"/>
          <a:ext cx="6172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847725</xdr:colOff>
      <xdr:row>139</xdr:row>
      <xdr:rowOff>133350</xdr:rowOff>
    </xdr:from>
    <xdr:to>
      <xdr:col>21</xdr:col>
      <xdr:colOff>276225</xdr:colOff>
      <xdr:row>145</xdr:row>
      <xdr:rowOff>85725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BB3C729-964B-4D50-B3F4-CE1EF2E4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23431500"/>
          <a:ext cx="6153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73</xdr:row>
      <xdr:rowOff>123825</xdr:rowOff>
    </xdr:from>
    <xdr:to>
      <xdr:col>7</xdr:col>
      <xdr:colOff>38100</xdr:colOff>
      <xdr:row>89</xdr:row>
      <xdr:rowOff>133350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1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13896975"/>
          <a:ext cx="5924550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10</xdr:row>
      <xdr:rowOff>0</xdr:rowOff>
    </xdr:from>
    <xdr:to>
      <xdr:col>28</xdr:col>
      <xdr:colOff>123825</xdr:colOff>
      <xdr:row>18</xdr:row>
      <xdr:rowOff>66675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1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0" y="2057400"/>
          <a:ext cx="56102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31</xdr:row>
      <xdr:rowOff>19050</xdr:rowOff>
    </xdr:from>
    <xdr:to>
      <xdr:col>24</xdr:col>
      <xdr:colOff>352425</xdr:colOff>
      <xdr:row>40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1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63125" y="5838825"/>
          <a:ext cx="61150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lane.menezes/Downloads/Demonstra&#231;&#245;es%202&#186;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7"/>
  <sheetViews>
    <sheetView topLeftCell="A252" zoomScale="117" zoomScaleNormal="117" workbookViewId="0">
      <selection activeCell="J92" sqref="J92"/>
    </sheetView>
  </sheetViews>
  <sheetFormatPr defaultRowHeight="12.75" x14ac:dyDescent="0.2"/>
  <cols>
    <col min="1" max="1" width="13.85546875" style="20" customWidth="1"/>
    <col min="2" max="2" width="2.140625" style="20" customWidth="1"/>
    <col min="3" max="3" width="23.5703125" style="20" customWidth="1"/>
    <col min="4" max="4" width="26.85546875" style="20" customWidth="1"/>
    <col min="5" max="5" width="16.140625" style="20" hidden="1" customWidth="1"/>
    <col min="6" max="6" width="15.42578125" style="20" hidden="1" customWidth="1"/>
    <col min="7" max="7" width="2.140625" style="20" hidden="1" customWidth="1"/>
    <col min="8" max="8" width="14" style="20" hidden="1" customWidth="1"/>
    <col min="9" max="9" width="2.140625" style="20" hidden="1" customWidth="1"/>
    <col min="10" max="10" width="15.42578125" style="20" customWidth="1"/>
    <col min="11" max="11" width="13.42578125" style="25" bestFit="1" customWidth="1"/>
    <col min="12" max="12" width="12.42578125" style="20" bestFit="1" customWidth="1"/>
    <col min="13" max="256" width="9.140625" style="20"/>
    <col min="257" max="257" width="13.85546875" style="20" customWidth="1"/>
    <col min="258" max="258" width="2.140625" style="20" customWidth="1"/>
    <col min="259" max="259" width="23.5703125" style="20" customWidth="1"/>
    <col min="260" max="260" width="26.85546875" style="20" customWidth="1"/>
    <col min="261" max="261" width="16.140625" style="20" customWidth="1"/>
    <col min="262" max="262" width="15.42578125" style="20" customWidth="1"/>
    <col min="263" max="263" width="2.140625" style="20" customWidth="1"/>
    <col min="264" max="264" width="14" style="20" customWidth="1"/>
    <col min="265" max="265" width="2.140625" style="20" customWidth="1"/>
    <col min="266" max="266" width="15.42578125" style="20" customWidth="1"/>
    <col min="267" max="512" width="9.140625" style="20"/>
    <col min="513" max="513" width="13.85546875" style="20" customWidth="1"/>
    <col min="514" max="514" width="2.140625" style="20" customWidth="1"/>
    <col min="515" max="515" width="23.5703125" style="20" customWidth="1"/>
    <col min="516" max="516" width="26.85546875" style="20" customWidth="1"/>
    <col min="517" max="517" width="16.140625" style="20" customWidth="1"/>
    <col min="518" max="518" width="15.42578125" style="20" customWidth="1"/>
    <col min="519" max="519" width="2.140625" style="20" customWidth="1"/>
    <col min="520" max="520" width="14" style="20" customWidth="1"/>
    <col min="521" max="521" width="2.140625" style="20" customWidth="1"/>
    <col min="522" max="522" width="15.42578125" style="20" customWidth="1"/>
    <col min="523" max="768" width="9.140625" style="20"/>
    <col min="769" max="769" width="13.85546875" style="20" customWidth="1"/>
    <col min="770" max="770" width="2.140625" style="20" customWidth="1"/>
    <col min="771" max="771" width="23.5703125" style="20" customWidth="1"/>
    <col min="772" max="772" width="26.85546875" style="20" customWidth="1"/>
    <col min="773" max="773" width="16.140625" style="20" customWidth="1"/>
    <col min="774" max="774" width="15.42578125" style="20" customWidth="1"/>
    <col min="775" max="775" width="2.140625" style="20" customWidth="1"/>
    <col min="776" max="776" width="14" style="20" customWidth="1"/>
    <col min="777" max="777" width="2.140625" style="20" customWidth="1"/>
    <col min="778" max="778" width="15.42578125" style="20" customWidth="1"/>
    <col min="779" max="1024" width="9.140625" style="20"/>
    <col min="1025" max="1025" width="13.85546875" style="20" customWidth="1"/>
    <col min="1026" max="1026" width="2.140625" style="20" customWidth="1"/>
    <col min="1027" max="1027" width="23.5703125" style="20" customWidth="1"/>
    <col min="1028" max="1028" width="26.85546875" style="20" customWidth="1"/>
    <col min="1029" max="1029" width="16.140625" style="20" customWidth="1"/>
    <col min="1030" max="1030" width="15.42578125" style="20" customWidth="1"/>
    <col min="1031" max="1031" width="2.140625" style="20" customWidth="1"/>
    <col min="1032" max="1032" width="14" style="20" customWidth="1"/>
    <col min="1033" max="1033" width="2.140625" style="20" customWidth="1"/>
    <col min="1034" max="1034" width="15.42578125" style="20" customWidth="1"/>
    <col min="1035" max="1280" width="9.140625" style="20"/>
    <col min="1281" max="1281" width="13.85546875" style="20" customWidth="1"/>
    <col min="1282" max="1282" width="2.140625" style="20" customWidth="1"/>
    <col min="1283" max="1283" width="23.5703125" style="20" customWidth="1"/>
    <col min="1284" max="1284" width="26.85546875" style="20" customWidth="1"/>
    <col min="1285" max="1285" width="16.140625" style="20" customWidth="1"/>
    <col min="1286" max="1286" width="15.42578125" style="20" customWidth="1"/>
    <col min="1287" max="1287" width="2.140625" style="20" customWidth="1"/>
    <col min="1288" max="1288" width="14" style="20" customWidth="1"/>
    <col min="1289" max="1289" width="2.140625" style="20" customWidth="1"/>
    <col min="1290" max="1290" width="15.42578125" style="20" customWidth="1"/>
    <col min="1291" max="1536" width="9.140625" style="20"/>
    <col min="1537" max="1537" width="13.85546875" style="20" customWidth="1"/>
    <col min="1538" max="1538" width="2.140625" style="20" customWidth="1"/>
    <col min="1539" max="1539" width="23.5703125" style="20" customWidth="1"/>
    <col min="1540" max="1540" width="26.85546875" style="20" customWidth="1"/>
    <col min="1541" max="1541" width="16.140625" style="20" customWidth="1"/>
    <col min="1542" max="1542" width="15.42578125" style="20" customWidth="1"/>
    <col min="1543" max="1543" width="2.140625" style="20" customWidth="1"/>
    <col min="1544" max="1544" width="14" style="20" customWidth="1"/>
    <col min="1545" max="1545" width="2.140625" style="20" customWidth="1"/>
    <col min="1546" max="1546" width="15.42578125" style="20" customWidth="1"/>
    <col min="1547" max="1792" width="9.140625" style="20"/>
    <col min="1793" max="1793" width="13.85546875" style="20" customWidth="1"/>
    <col min="1794" max="1794" width="2.140625" style="20" customWidth="1"/>
    <col min="1795" max="1795" width="23.5703125" style="20" customWidth="1"/>
    <col min="1796" max="1796" width="26.85546875" style="20" customWidth="1"/>
    <col min="1797" max="1797" width="16.140625" style="20" customWidth="1"/>
    <col min="1798" max="1798" width="15.42578125" style="20" customWidth="1"/>
    <col min="1799" max="1799" width="2.140625" style="20" customWidth="1"/>
    <col min="1800" max="1800" width="14" style="20" customWidth="1"/>
    <col min="1801" max="1801" width="2.140625" style="20" customWidth="1"/>
    <col min="1802" max="1802" width="15.42578125" style="20" customWidth="1"/>
    <col min="1803" max="2048" width="9.140625" style="20"/>
    <col min="2049" max="2049" width="13.85546875" style="20" customWidth="1"/>
    <col min="2050" max="2050" width="2.140625" style="20" customWidth="1"/>
    <col min="2051" max="2051" width="23.5703125" style="20" customWidth="1"/>
    <col min="2052" max="2052" width="26.85546875" style="20" customWidth="1"/>
    <col min="2053" max="2053" width="16.140625" style="20" customWidth="1"/>
    <col min="2054" max="2054" width="15.42578125" style="20" customWidth="1"/>
    <col min="2055" max="2055" width="2.140625" style="20" customWidth="1"/>
    <col min="2056" max="2056" width="14" style="20" customWidth="1"/>
    <col min="2057" max="2057" width="2.140625" style="20" customWidth="1"/>
    <col min="2058" max="2058" width="15.42578125" style="20" customWidth="1"/>
    <col min="2059" max="2304" width="9.140625" style="20"/>
    <col min="2305" max="2305" width="13.85546875" style="20" customWidth="1"/>
    <col min="2306" max="2306" width="2.140625" style="20" customWidth="1"/>
    <col min="2307" max="2307" width="23.5703125" style="20" customWidth="1"/>
    <col min="2308" max="2308" width="26.85546875" style="20" customWidth="1"/>
    <col min="2309" max="2309" width="16.140625" style="20" customWidth="1"/>
    <col min="2310" max="2310" width="15.42578125" style="20" customWidth="1"/>
    <col min="2311" max="2311" width="2.140625" style="20" customWidth="1"/>
    <col min="2312" max="2312" width="14" style="20" customWidth="1"/>
    <col min="2313" max="2313" width="2.140625" style="20" customWidth="1"/>
    <col min="2314" max="2314" width="15.42578125" style="20" customWidth="1"/>
    <col min="2315" max="2560" width="9.140625" style="20"/>
    <col min="2561" max="2561" width="13.85546875" style="20" customWidth="1"/>
    <col min="2562" max="2562" width="2.140625" style="20" customWidth="1"/>
    <col min="2563" max="2563" width="23.5703125" style="20" customWidth="1"/>
    <col min="2564" max="2564" width="26.85546875" style="20" customWidth="1"/>
    <col min="2565" max="2565" width="16.140625" style="20" customWidth="1"/>
    <col min="2566" max="2566" width="15.42578125" style="20" customWidth="1"/>
    <col min="2567" max="2567" width="2.140625" style="20" customWidth="1"/>
    <col min="2568" max="2568" width="14" style="20" customWidth="1"/>
    <col min="2569" max="2569" width="2.140625" style="20" customWidth="1"/>
    <col min="2570" max="2570" width="15.42578125" style="20" customWidth="1"/>
    <col min="2571" max="2816" width="9.140625" style="20"/>
    <col min="2817" max="2817" width="13.85546875" style="20" customWidth="1"/>
    <col min="2818" max="2818" width="2.140625" style="20" customWidth="1"/>
    <col min="2819" max="2819" width="23.5703125" style="20" customWidth="1"/>
    <col min="2820" max="2820" width="26.85546875" style="20" customWidth="1"/>
    <col min="2821" max="2821" width="16.140625" style="20" customWidth="1"/>
    <col min="2822" max="2822" width="15.42578125" style="20" customWidth="1"/>
    <col min="2823" max="2823" width="2.140625" style="20" customWidth="1"/>
    <col min="2824" max="2824" width="14" style="20" customWidth="1"/>
    <col min="2825" max="2825" width="2.140625" style="20" customWidth="1"/>
    <col min="2826" max="2826" width="15.42578125" style="20" customWidth="1"/>
    <col min="2827" max="3072" width="9.140625" style="20"/>
    <col min="3073" max="3073" width="13.85546875" style="20" customWidth="1"/>
    <col min="3074" max="3074" width="2.140625" style="20" customWidth="1"/>
    <col min="3075" max="3075" width="23.5703125" style="20" customWidth="1"/>
    <col min="3076" max="3076" width="26.85546875" style="20" customWidth="1"/>
    <col min="3077" max="3077" width="16.140625" style="20" customWidth="1"/>
    <col min="3078" max="3078" width="15.42578125" style="20" customWidth="1"/>
    <col min="3079" max="3079" width="2.140625" style="20" customWidth="1"/>
    <col min="3080" max="3080" width="14" style="20" customWidth="1"/>
    <col min="3081" max="3081" width="2.140625" style="20" customWidth="1"/>
    <col min="3082" max="3082" width="15.42578125" style="20" customWidth="1"/>
    <col min="3083" max="3328" width="9.140625" style="20"/>
    <col min="3329" max="3329" width="13.85546875" style="20" customWidth="1"/>
    <col min="3330" max="3330" width="2.140625" style="20" customWidth="1"/>
    <col min="3331" max="3331" width="23.5703125" style="20" customWidth="1"/>
    <col min="3332" max="3332" width="26.85546875" style="20" customWidth="1"/>
    <col min="3333" max="3333" width="16.140625" style="20" customWidth="1"/>
    <col min="3334" max="3334" width="15.42578125" style="20" customWidth="1"/>
    <col min="3335" max="3335" width="2.140625" style="20" customWidth="1"/>
    <col min="3336" max="3336" width="14" style="20" customWidth="1"/>
    <col min="3337" max="3337" width="2.140625" style="20" customWidth="1"/>
    <col min="3338" max="3338" width="15.42578125" style="20" customWidth="1"/>
    <col min="3339" max="3584" width="9.140625" style="20"/>
    <col min="3585" max="3585" width="13.85546875" style="20" customWidth="1"/>
    <col min="3586" max="3586" width="2.140625" style="20" customWidth="1"/>
    <col min="3587" max="3587" width="23.5703125" style="20" customWidth="1"/>
    <col min="3588" max="3588" width="26.85546875" style="20" customWidth="1"/>
    <col min="3589" max="3589" width="16.140625" style="20" customWidth="1"/>
    <col min="3590" max="3590" width="15.42578125" style="20" customWidth="1"/>
    <col min="3591" max="3591" width="2.140625" style="20" customWidth="1"/>
    <col min="3592" max="3592" width="14" style="20" customWidth="1"/>
    <col min="3593" max="3593" width="2.140625" style="20" customWidth="1"/>
    <col min="3594" max="3594" width="15.42578125" style="20" customWidth="1"/>
    <col min="3595" max="3840" width="9.140625" style="20"/>
    <col min="3841" max="3841" width="13.85546875" style="20" customWidth="1"/>
    <col min="3842" max="3842" width="2.140625" style="20" customWidth="1"/>
    <col min="3843" max="3843" width="23.5703125" style="20" customWidth="1"/>
    <col min="3844" max="3844" width="26.85546875" style="20" customWidth="1"/>
    <col min="3845" max="3845" width="16.140625" style="20" customWidth="1"/>
    <col min="3846" max="3846" width="15.42578125" style="20" customWidth="1"/>
    <col min="3847" max="3847" width="2.140625" style="20" customWidth="1"/>
    <col min="3848" max="3848" width="14" style="20" customWidth="1"/>
    <col min="3849" max="3849" width="2.140625" style="20" customWidth="1"/>
    <col min="3850" max="3850" width="15.42578125" style="20" customWidth="1"/>
    <col min="3851" max="4096" width="9.140625" style="20"/>
    <col min="4097" max="4097" width="13.85546875" style="20" customWidth="1"/>
    <col min="4098" max="4098" width="2.140625" style="20" customWidth="1"/>
    <col min="4099" max="4099" width="23.5703125" style="20" customWidth="1"/>
    <col min="4100" max="4100" width="26.85546875" style="20" customWidth="1"/>
    <col min="4101" max="4101" width="16.140625" style="20" customWidth="1"/>
    <col min="4102" max="4102" width="15.42578125" style="20" customWidth="1"/>
    <col min="4103" max="4103" width="2.140625" style="20" customWidth="1"/>
    <col min="4104" max="4104" width="14" style="20" customWidth="1"/>
    <col min="4105" max="4105" width="2.140625" style="20" customWidth="1"/>
    <col min="4106" max="4106" width="15.42578125" style="20" customWidth="1"/>
    <col min="4107" max="4352" width="9.140625" style="20"/>
    <col min="4353" max="4353" width="13.85546875" style="20" customWidth="1"/>
    <col min="4354" max="4354" width="2.140625" style="20" customWidth="1"/>
    <col min="4355" max="4355" width="23.5703125" style="20" customWidth="1"/>
    <col min="4356" max="4356" width="26.85546875" style="20" customWidth="1"/>
    <col min="4357" max="4357" width="16.140625" style="20" customWidth="1"/>
    <col min="4358" max="4358" width="15.42578125" style="20" customWidth="1"/>
    <col min="4359" max="4359" width="2.140625" style="20" customWidth="1"/>
    <col min="4360" max="4360" width="14" style="20" customWidth="1"/>
    <col min="4361" max="4361" width="2.140625" style="20" customWidth="1"/>
    <col min="4362" max="4362" width="15.42578125" style="20" customWidth="1"/>
    <col min="4363" max="4608" width="9.140625" style="20"/>
    <col min="4609" max="4609" width="13.85546875" style="20" customWidth="1"/>
    <col min="4610" max="4610" width="2.140625" style="20" customWidth="1"/>
    <col min="4611" max="4611" width="23.5703125" style="20" customWidth="1"/>
    <col min="4612" max="4612" width="26.85546875" style="20" customWidth="1"/>
    <col min="4613" max="4613" width="16.140625" style="20" customWidth="1"/>
    <col min="4614" max="4614" width="15.42578125" style="20" customWidth="1"/>
    <col min="4615" max="4615" width="2.140625" style="20" customWidth="1"/>
    <col min="4616" max="4616" width="14" style="20" customWidth="1"/>
    <col min="4617" max="4617" width="2.140625" style="20" customWidth="1"/>
    <col min="4618" max="4618" width="15.42578125" style="20" customWidth="1"/>
    <col min="4619" max="4864" width="9.140625" style="20"/>
    <col min="4865" max="4865" width="13.85546875" style="20" customWidth="1"/>
    <col min="4866" max="4866" width="2.140625" style="20" customWidth="1"/>
    <col min="4867" max="4867" width="23.5703125" style="20" customWidth="1"/>
    <col min="4868" max="4868" width="26.85546875" style="20" customWidth="1"/>
    <col min="4869" max="4869" width="16.140625" style="20" customWidth="1"/>
    <col min="4870" max="4870" width="15.42578125" style="20" customWidth="1"/>
    <col min="4871" max="4871" width="2.140625" style="20" customWidth="1"/>
    <col min="4872" max="4872" width="14" style="20" customWidth="1"/>
    <col min="4873" max="4873" width="2.140625" style="20" customWidth="1"/>
    <col min="4874" max="4874" width="15.42578125" style="20" customWidth="1"/>
    <col min="4875" max="5120" width="9.140625" style="20"/>
    <col min="5121" max="5121" width="13.85546875" style="20" customWidth="1"/>
    <col min="5122" max="5122" width="2.140625" style="20" customWidth="1"/>
    <col min="5123" max="5123" width="23.5703125" style="20" customWidth="1"/>
    <col min="5124" max="5124" width="26.85546875" style="20" customWidth="1"/>
    <col min="5125" max="5125" width="16.140625" style="20" customWidth="1"/>
    <col min="5126" max="5126" width="15.42578125" style="20" customWidth="1"/>
    <col min="5127" max="5127" width="2.140625" style="20" customWidth="1"/>
    <col min="5128" max="5128" width="14" style="20" customWidth="1"/>
    <col min="5129" max="5129" width="2.140625" style="20" customWidth="1"/>
    <col min="5130" max="5130" width="15.42578125" style="20" customWidth="1"/>
    <col min="5131" max="5376" width="9.140625" style="20"/>
    <col min="5377" max="5377" width="13.85546875" style="20" customWidth="1"/>
    <col min="5378" max="5378" width="2.140625" style="20" customWidth="1"/>
    <col min="5379" max="5379" width="23.5703125" style="20" customWidth="1"/>
    <col min="5380" max="5380" width="26.85546875" style="20" customWidth="1"/>
    <col min="5381" max="5381" width="16.140625" style="20" customWidth="1"/>
    <col min="5382" max="5382" width="15.42578125" style="20" customWidth="1"/>
    <col min="5383" max="5383" width="2.140625" style="20" customWidth="1"/>
    <col min="5384" max="5384" width="14" style="20" customWidth="1"/>
    <col min="5385" max="5385" width="2.140625" style="20" customWidth="1"/>
    <col min="5386" max="5386" width="15.42578125" style="20" customWidth="1"/>
    <col min="5387" max="5632" width="9.140625" style="20"/>
    <col min="5633" max="5633" width="13.85546875" style="20" customWidth="1"/>
    <col min="5634" max="5634" width="2.140625" style="20" customWidth="1"/>
    <col min="5635" max="5635" width="23.5703125" style="20" customWidth="1"/>
    <col min="5636" max="5636" width="26.85546875" style="20" customWidth="1"/>
    <col min="5637" max="5637" width="16.140625" style="20" customWidth="1"/>
    <col min="5638" max="5638" width="15.42578125" style="20" customWidth="1"/>
    <col min="5639" max="5639" width="2.140625" style="20" customWidth="1"/>
    <col min="5640" max="5640" width="14" style="20" customWidth="1"/>
    <col min="5641" max="5641" width="2.140625" style="20" customWidth="1"/>
    <col min="5642" max="5642" width="15.42578125" style="20" customWidth="1"/>
    <col min="5643" max="5888" width="9.140625" style="20"/>
    <col min="5889" max="5889" width="13.85546875" style="20" customWidth="1"/>
    <col min="5890" max="5890" width="2.140625" style="20" customWidth="1"/>
    <col min="5891" max="5891" width="23.5703125" style="20" customWidth="1"/>
    <col min="5892" max="5892" width="26.85546875" style="20" customWidth="1"/>
    <col min="5893" max="5893" width="16.140625" style="20" customWidth="1"/>
    <col min="5894" max="5894" width="15.42578125" style="20" customWidth="1"/>
    <col min="5895" max="5895" width="2.140625" style="20" customWidth="1"/>
    <col min="5896" max="5896" width="14" style="20" customWidth="1"/>
    <col min="5897" max="5897" width="2.140625" style="20" customWidth="1"/>
    <col min="5898" max="5898" width="15.42578125" style="20" customWidth="1"/>
    <col min="5899" max="6144" width="9.140625" style="20"/>
    <col min="6145" max="6145" width="13.85546875" style="20" customWidth="1"/>
    <col min="6146" max="6146" width="2.140625" style="20" customWidth="1"/>
    <col min="6147" max="6147" width="23.5703125" style="20" customWidth="1"/>
    <col min="6148" max="6148" width="26.85546875" style="20" customWidth="1"/>
    <col min="6149" max="6149" width="16.140625" style="20" customWidth="1"/>
    <col min="6150" max="6150" width="15.42578125" style="20" customWidth="1"/>
    <col min="6151" max="6151" width="2.140625" style="20" customWidth="1"/>
    <col min="6152" max="6152" width="14" style="20" customWidth="1"/>
    <col min="6153" max="6153" width="2.140625" style="20" customWidth="1"/>
    <col min="6154" max="6154" width="15.42578125" style="20" customWidth="1"/>
    <col min="6155" max="6400" width="9.140625" style="20"/>
    <col min="6401" max="6401" width="13.85546875" style="20" customWidth="1"/>
    <col min="6402" max="6402" width="2.140625" style="20" customWidth="1"/>
    <col min="6403" max="6403" width="23.5703125" style="20" customWidth="1"/>
    <col min="6404" max="6404" width="26.85546875" style="20" customWidth="1"/>
    <col min="6405" max="6405" width="16.140625" style="20" customWidth="1"/>
    <col min="6406" max="6406" width="15.42578125" style="20" customWidth="1"/>
    <col min="6407" max="6407" width="2.140625" style="20" customWidth="1"/>
    <col min="6408" max="6408" width="14" style="20" customWidth="1"/>
    <col min="6409" max="6409" width="2.140625" style="20" customWidth="1"/>
    <col min="6410" max="6410" width="15.42578125" style="20" customWidth="1"/>
    <col min="6411" max="6656" width="9.140625" style="20"/>
    <col min="6657" max="6657" width="13.85546875" style="20" customWidth="1"/>
    <col min="6658" max="6658" width="2.140625" style="20" customWidth="1"/>
    <col min="6659" max="6659" width="23.5703125" style="20" customWidth="1"/>
    <col min="6660" max="6660" width="26.85546875" style="20" customWidth="1"/>
    <col min="6661" max="6661" width="16.140625" style="20" customWidth="1"/>
    <col min="6662" max="6662" width="15.42578125" style="20" customWidth="1"/>
    <col min="6663" max="6663" width="2.140625" style="20" customWidth="1"/>
    <col min="6664" max="6664" width="14" style="20" customWidth="1"/>
    <col min="6665" max="6665" width="2.140625" style="20" customWidth="1"/>
    <col min="6666" max="6666" width="15.42578125" style="20" customWidth="1"/>
    <col min="6667" max="6912" width="9.140625" style="20"/>
    <col min="6913" max="6913" width="13.85546875" style="20" customWidth="1"/>
    <col min="6914" max="6914" width="2.140625" style="20" customWidth="1"/>
    <col min="6915" max="6915" width="23.5703125" style="20" customWidth="1"/>
    <col min="6916" max="6916" width="26.85546875" style="20" customWidth="1"/>
    <col min="6917" max="6917" width="16.140625" style="20" customWidth="1"/>
    <col min="6918" max="6918" width="15.42578125" style="20" customWidth="1"/>
    <col min="6919" max="6919" width="2.140625" style="20" customWidth="1"/>
    <col min="6920" max="6920" width="14" style="20" customWidth="1"/>
    <col min="6921" max="6921" width="2.140625" style="20" customWidth="1"/>
    <col min="6922" max="6922" width="15.42578125" style="20" customWidth="1"/>
    <col min="6923" max="7168" width="9.140625" style="20"/>
    <col min="7169" max="7169" width="13.85546875" style="20" customWidth="1"/>
    <col min="7170" max="7170" width="2.140625" style="20" customWidth="1"/>
    <col min="7171" max="7171" width="23.5703125" style="20" customWidth="1"/>
    <col min="7172" max="7172" width="26.85546875" style="20" customWidth="1"/>
    <col min="7173" max="7173" width="16.140625" style="20" customWidth="1"/>
    <col min="7174" max="7174" width="15.42578125" style="20" customWidth="1"/>
    <col min="7175" max="7175" width="2.140625" style="20" customWidth="1"/>
    <col min="7176" max="7176" width="14" style="20" customWidth="1"/>
    <col min="7177" max="7177" width="2.140625" style="20" customWidth="1"/>
    <col min="7178" max="7178" width="15.42578125" style="20" customWidth="1"/>
    <col min="7179" max="7424" width="9.140625" style="20"/>
    <col min="7425" max="7425" width="13.85546875" style="20" customWidth="1"/>
    <col min="7426" max="7426" width="2.140625" style="20" customWidth="1"/>
    <col min="7427" max="7427" width="23.5703125" style="20" customWidth="1"/>
    <col min="7428" max="7428" width="26.85546875" style="20" customWidth="1"/>
    <col min="7429" max="7429" width="16.140625" style="20" customWidth="1"/>
    <col min="7430" max="7430" width="15.42578125" style="20" customWidth="1"/>
    <col min="7431" max="7431" width="2.140625" style="20" customWidth="1"/>
    <col min="7432" max="7432" width="14" style="20" customWidth="1"/>
    <col min="7433" max="7433" width="2.140625" style="20" customWidth="1"/>
    <col min="7434" max="7434" width="15.42578125" style="20" customWidth="1"/>
    <col min="7435" max="7680" width="9.140625" style="20"/>
    <col min="7681" max="7681" width="13.85546875" style="20" customWidth="1"/>
    <col min="7682" max="7682" width="2.140625" style="20" customWidth="1"/>
    <col min="7683" max="7683" width="23.5703125" style="20" customWidth="1"/>
    <col min="7684" max="7684" width="26.85546875" style="20" customWidth="1"/>
    <col min="7685" max="7685" width="16.140625" style="20" customWidth="1"/>
    <col min="7686" max="7686" width="15.42578125" style="20" customWidth="1"/>
    <col min="7687" max="7687" width="2.140625" style="20" customWidth="1"/>
    <col min="7688" max="7688" width="14" style="20" customWidth="1"/>
    <col min="7689" max="7689" width="2.140625" style="20" customWidth="1"/>
    <col min="7690" max="7690" width="15.42578125" style="20" customWidth="1"/>
    <col min="7691" max="7936" width="9.140625" style="20"/>
    <col min="7937" max="7937" width="13.85546875" style="20" customWidth="1"/>
    <col min="7938" max="7938" width="2.140625" style="20" customWidth="1"/>
    <col min="7939" max="7939" width="23.5703125" style="20" customWidth="1"/>
    <col min="7940" max="7940" width="26.85546875" style="20" customWidth="1"/>
    <col min="7941" max="7941" width="16.140625" style="20" customWidth="1"/>
    <col min="7942" max="7942" width="15.42578125" style="20" customWidth="1"/>
    <col min="7943" max="7943" width="2.140625" style="20" customWidth="1"/>
    <col min="7944" max="7944" width="14" style="20" customWidth="1"/>
    <col min="7945" max="7945" width="2.140625" style="20" customWidth="1"/>
    <col min="7946" max="7946" width="15.42578125" style="20" customWidth="1"/>
    <col min="7947" max="8192" width="9.140625" style="20"/>
    <col min="8193" max="8193" width="13.85546875" style="20" customWidth="1"/>
    <col min="8194" max="8194" width="2.140625" style="20" customWidth="1"/>
    <col min="8195" max="8195" width="23.5703125" style="20" customWidth="1"/>
    <col min="8196" max="8196" width="26.85546875" style="20" customWidth="1"/>
    <col min="8197" max="8197" width="16.140625" style="20" customWidth="1"/>
    <col min="8198" max="8198" width="15.42578125" style="20" customWidth="1"/>
    <col min="8199" max="8199" width="2.140625" style="20" customWidth="1"/>
    <col min="8200" max="8200" width="14" style="20" customWidth="1"/>
    <col min="8201" max="8201" width="2.140625" style="20" customWidth="1"/>
    <col min="8202" max="8202" width="15.42578125" style="20" customWidth="1"/>
    <col min="8203" max="8448" width="9.140625" style="20"/>
    <col min="8449" max="8449" width="13.85546875" style="20" customWidth="1"/>
    <col min="8450" max="8450" width="2.140625" style="20" customWidth="1"/>
    <col min="8451" max="8451" width="23.5703125" style="20" customWidth="1"/>
    <col min="8452" max="8452" width="26.85546875" style="20" customWidth="1"/>
    <col min="8453" max="8453" width="16.140625" style="20" customWidth="1"/>
    <col min="8454" max="8454" width="15.42578125" style="20" customWidth="1"/>
    <col min="8455" max="8455" width="2.140625" style="20" customWidth="1"/>
    <col min="8456" max="8456" width="14" style="20" customWidth="1"/>
    <col min="8457" max="8457" width="2.140625" style="20" customWidth="1"/>
    <col min="8458" max="8458" width="15.42578125" style="20" customWidth="1"/>
    <col min="8459" max="8704" width="9.140625" style="20"/>
    <col min="8705" max="8705" width="13.85546875" style="20" customWidth="1"/>
    <col min="8706" max="8706" width="2.140625" style="20" customWidth="1"/>
    <col min="8707" max="8707" width="23.5703125" style="20" customWidth="1"/>
    <col min="8708" max="8708" width="26.85546875" style="20" customWidth="1"/>
    <col min="8709" max="8709" width="16.140625" style="20" customWidth="1"/>
    <col min="8710" max="8710" width="15.42578125" style="20" customWidth="1"/>
    <col min="8711" max="8711" width="2.140625" style="20" customWidth="1"/>
    <col min="8712" max="8712" width="14" style="20" customWidth="1"/>
    <col min="8713" max="8713" width="2.140625" style="20" customWidth="1"/>
    <col min="8714" max="8714" width="15.42578125" style="20" customWidth="1"/>
    <col min="8715" max="8960" width="9.140625" style="20"/>
    <col min="8961" max="8961" width="13.85546875" style="20" customWidth="1"/>
    <col min="8962" max="8962" width="2.140625" style="20" customWidth="1"/>
    <col min="8963" max="8963" width="23.5703125" style="20" customWidth="1"/>
    <col min="8964" max="8964" width="26.85546875" style="20" customWidth="1"/>
    <col min="8965" max="8965" width="16.140625" style="20" customWidth="1"/>
    <col min="8966" max="8966" width="15.42578125" style="20" customWidth="1"/>
    <col min="8967" max="8967" width="2.140625" style="20" customWidth="1"/>
    <col min="8968" max="8968" width="14" style="20" customWidth="1"/>
    <col min="8969" max="8969" width="2.140625" style="20" customWidth="1"/>
    <col min="8970" max="8970" width="15.42578125" style="20" customWidth="1"/>
    <col min="8971" max="9216" width="9.140625" style="20"/>
    <col min="9217" max="9217" width="13.85546875" style="20" customWidth="1"/>
    <col min="9218" max="9218" width="2.140625" style="20" customWidth="1"/>
    <col min="9219" max="9219" width="23.5703125" style="20" customWidth="1"/>
    <col min="9220" max="9220" width="26.85546875" style="20" customWidth="1"/>
    <col min="9221" max="9221" width="16.140625" style="20" customWidth="1"/>
    <col min="9222" max="9222" width="15.42578125" style="20" customWidth="1"/>
    <col min="9223" max="9223" width="2.140625" style="20" customWidth="1"/>
    <col min="9224" max="9224" width="14" style="20" customWidth="1"/>
    <col min="9225" max="9225" width="2.140625" style="20" customWidth="1"/>
    <col min="9226" max="9226" width="15.42578125" style="20" customWidth="1"/>
    <col min="9227" max="9472" width="9.140625" style="20"/>
    <col min="9473" max="9473" width="13.85546875" style="20" customWidth="1"/>
    <col min="9474" max="9474" width="2.140625" style="20" customWidth="1"/>
    <col min="9475" max="9475" width="23.5703125" style="20" customWidth="1"/>
    <col min="9476" max="9476" width="26.85546875" style="20" customWidth="1"/>
    <col min="9477" max="9477" width="16.140625" style="20" customWidth="1"/>
    <col min="9478" max="9478" width="15.42578125" style="20" customWidth="1"/>
    <col min="9479" max="9479" width="2.140625" style="20" customWidth="1"/>
    <col min="9480" max="9480" width="14" style="20" customWidth="1"/>
    <col min="9481" max="9481" width="2.140625" style="20" customWidth="1"/>
    <col min="9482" max="9482" width="15.42578125" style="20" customWidth="1"/>
    <col min="9483" max="9728" width="9.140625" style="20"/>
    <col min="9729" max="9729" width="13.85546875" style="20" customWidth="1"/>
    <col min="9730" max="9730" width="2.140625" style="20" customWidth="1"/>
    <col min="9731" max="9731" width="23.5703125" style="20" customWidth="1"/>
    <col min="9732" max="9732" width="26.85546875" style="20" customWidth="1"/>
    <col min="9733" max="9733" width="16.140625" style="20" customWidth="1"/>
    <col min="9734" max="9734" width="15.42578125" style="20" customWidth="1"/>
    <col min="9735" max="9735" width="2.140625" style="20" customWidth="1"/>
    <col min="9736" max="9736" width="14" style="20" customWidth="1"/>
    <col min="9737" max="9737" width="2.140625" style="20" customWidth="1"/>
    <col min="9738" max="9738" width="15.42578125" style="20" customWidth="1"/>
    <col min="9739" max="9984" width="9.140625" style="20"/>
    <col min="9985" max="9985" width="13.85546875" style="20" customWidth="1"/>
    <col min="9986" max="9986" width="2.140625" style="20" customWidth="1"/>
    <col min="9987" max="9987" width="23.5703125" style="20" customWidth="1"/>
    <col min="9988" max="9988" width="26.85546875" style="20" customWidth="1"/>
    <col min="9989" max="9989" width="16.140625" style="20" customWidth="1"/>
    <col min="9990" max="9990" width="15.42578125" style="20" customWidth="1"/>
    <col min="9991" max="9991" width="2.140625" style="20" customWidth="1"/>
    <col min="9992" max="9992" width="14" style="20" customWidth="1"/>
    <col min="9993" max="9993" width="2.140625" style="20" customWidth="1"/>
    <col min="9994" max="9994" width="15.42578125" style="20" customWidth="1"/>
    <col min="9995" max="10240" width="9.140625" style="20"/>
    <col min="10241" max="10241" width="13.85546875" style="20" customWidth="1"/>
    <col min="10242" max="10242" width="2.140625" style="20" customWidth="1"/>
    <col min="10243" max="10243" width="23.5703125" style="20" customWidth="1"/>
    <col min="10244" max="10244" width="26.85546875" style="20" customWidth="1"/>
    <col min="10245" max="10245" width="16.140625" style="20" customWidth="1"/>
    <col min="10246" max="10246" width="15.42578125" style="20" customWidth="1"/>
    <col min="10247" max="10247" width="2.140625" style="20" customWidth="1"/>
    <col min="10248" max="10248" width="14" style="20" customWidth="1"/>
    <col min="10249" max="10249" width="2.140625" style="20" customWidth="1"/>
    <col min="10250" max="10250" width="15.42578125" style="20" customWidth="1"/>
    <col min="10251" max="10496" width="9.140625" style="20"/>
    <col min="10497" max="10497" width="13.85546875" style="20" customWidth="1"/>
    <col min="10498" max="10498" width="2.140625" style="20" customWidth="1"/>
    <col min="10499" max="10499" width="23.5703125" style="20" customWidth="1"/>
    <col min="10500" max="10500" width="26.85546875" style="20" customWidth="1"/>
    <col min="10501" max="10501" width="16.140625" style="20" customWidth="1"/>
    <col min="10502" max="10502" width="15.42578125" style="20" customWidth="1"/>
    <col min="10503" max="10503" width="2.140625" style="20" customWidth="1"/>
    <col min="10504" max="10504" width="14" style="20" customWidth="1"/>
    <col min="10505" max="10505" width="2.140625" style="20" customWidth="1"/>
    <col min="10506" max="10506" width="15.42578125" style="20" customWidth="1"/>
    <col min="10507" max="10752" width="9.140625" style="20"/>
    <col min="10753" max="10753" width="13.85546875" style="20" customWidth="1"/>
    <col min="10754" max="10754" width="2.140625" style="20" customWidth="1"/>
    <col min="10755" max="10755" width="23.5703125" style="20" customWidth="1"/>
    <col min="10756" max="10756" width="26.85546875" style="20" customWidth="1"/>
    <col min="10757" max="10757" width="16.140625" style="20" customWidth="1"/>
    <col min="10758" max="10758" width="15.42578125" style="20" customWidth="1"/>
    <col min="10759" max="10759" width="2.140625" style="20" customWidth="1"/>
    <col min="10760" max="10760" width="14" style="20" customWidth="1"/>
    <col min="10761" max="10761" width="2.140625" style="20" customWidth="1"/>
    <col min="10762" max="10762" width="15.42578125" style="20" customWidth="1"/>
    <col min="10763" max="11008" width="9.140625" style="20"/>
    <col min="11009" max="11009" width="13.85546875" style="20" customWidth="1"/>
    <col min="11010" max="11010" width="2.140625" style="20" customWidth="1"/>
    <col min="11011" max="11011" width="23.5703125" style="20" customWidth="1"/>
    <col min="11012" max="11012" width="26.85546875" style="20" customWidth="1"/>
    <col min="11013" max="11013" width="16.140625" style="20" customWidth="1"/>
    <col min="11014" max="11014" width="15.42578125" style="20" customWidth="1"/>
    <col min="11015" max="11015" width="2.140625" style="20" customWidth="1"/>
    <col min="11016" max="11016" width="14" style="20" customWidth="1"/>
    <col min="11017" max="11017" width="2.140625" style="20" customWidth="1"/>
    <col min="11018" max="11018" width="15.42578125" style="20" customWidth="1"/>
    <col min="11019" max="11264" width="9.140625" style="20"/>
    <col min="11265" max="11265" width="13.85546875" style="20" customWidth="1"/>
    <col min="11266" max="11266" width="2.140625" style="20" customWidth="1"/>
    <col min="11267" max="11267" width="23.5703125" style="20" customWidth="1"/>
    <col min="11268" max="11268" width="26.85546875" style="20" customWidth="1"/>
    <col min="11269" max="11269" width="16.140625" style="20" customWidth="1"/>
    <col min="11270" max="11270" width="15.42578125" style="20" customWidth="1"/>
    <col min="11271" max="11271" width="2.140625" style="20" customWidth="1"/>
    <col min="11272" max="11272" width="14" style="20" customWidth="1"/>
    <col min="11273" max="11273" width="2.140625" style="20" customWidth="1"/>
    <col min="11274" max="11274" width="15.42578125" style="20" customWidth="1"/>
    <col min="11275" max="11520" width="9.140625" style="20"/>
    <col min="11521" max="11521" width="13.85546875" style="20" customWidth="1"/>
    <col min="11522" max="11522" width="2.140625" style="20" customWidth="1"/>
    <col min="11523" max="11523" width="23.5703125" style="20" customWidth="1"/>
    <col min="11524" max="11524" width="26.85546875" style="20" customWidth="1"/>
    <col min="11525" max="11525" width="16.140625" style="20" customWidth="1"/>
    <col min="11526" max="11526" width="15.42578125" style="20" customWidth="1"/>
    <col min="11527" max="11527" width="2.140625" style="20" customWidth="1"/>
    <col min="11528" max="11528" width="14" style="20" customWidth="1"/>
    <col min="11529" max="11529" width="2.140625" style="20" customWidth="1"/>
    <col min="11530" max="11530" width="15.42578125" style="20" customWidth="1"/>
    <col min="11531" max="11776" width="9.140625" style="20"/>
    <col min="11777" max="11777" width="13.85546875" style="20" customWidth="1"/>
    <col min="11778" max="11778" width="2.140625" style="20" customWidth="1"/>
    <col min="11779" max="11779" width="23.5703125" style="20" customWidth="1"/>
    <col min="11780" max="11780" width="26.85546875" style="20" customWidth="1"/>
    <col min="11781" max="11781" width="16.140625" style="20" customWidth="1"/>
    <col min="11782" max="11782" width="15.42578125" style="20" customWidth="1"/>
    <col min="11783" max="11783" width="2.140625" style="20" customWidth="1"/>
    <col min="11784" max="11784" width="14" style="20" customWidth="1"/>
    <col min="11785" max="11785" width="2.140625" style="20" customWidth="1"/>
    <col min="11786" max="11786" width="15.42578125" style="20" customWidth="1"/>
    <col min="11787" max="12032" width="9.140625" style="20"/>
    <col min="12033" max="12033" width="13.85546875" style="20" customWidth="1"/>
    <col min="12034" max="12034" width="2.140625" style="20" customWidth="1"/>
    <col min="12035" max="12035" width="23.5703125" style="20" customWidth="1"/>
    <col min="12036" max="12036" width="26.85546875" style="20" customWidth="1"/>
    <col min="12037" max="12037" width="16.140625" style="20" customWidth="1"/>
    <col min="12038" max="12038" width="15.42578125" style="20" customWidth="1"/>
    <col min="12039" max="12039" width="2.140625" style="20" customWidth="1"/>
    <col min="12040" max="12040" width="14" style="20" customWidth="1"/>
    <col min="12041" max="12041" width="2.140625" style="20" customWidth="1"/>
    <col min="12042" max="12042" width="15.42578125" style="20" customWidth="1"/>
    <col min="12043" max="12288" width="9.140625" style="20"/>
    <col min="12289" max="12289" width="13.85546875" style="20" customWidth="1"/>
    <col min="12290" max="12290" width="2.140625" style="20" customWidth="1"/>
    <col min="12291" max="12291" width="23.5703125" style="20" customWidth="1"/>
    <col min="12292" max="12292" width="26.85546875" style="20" customWidth="1"/>
    <col min="12293" max="12293" width="16.140625" style="20" customWidth="1"/>
    <col min="12294" max="12294" width="15.42578125" style="20" customWidth="1"/>
    <col min="12295" max="12295" width="2.140625" style="20" customWidth="1"/>
    <col min="12296" max="12296" width="14" style="20" customWidth="1"/>
    <col min="12297" max="12297" width="2.140625" style="20" customWidth="1"/>
    <col min="12298" max="12298" width="15.42578125" style="20" customWidth="1"/>
    <col min="12299" max="12544" width="9.140625" style="20"/>
    <col min="12545" max="12545" width="13.85546875" style="20" customWidth="1"/>
    <col min="12546" max="12546" width="2.140625" style="20" customWidth="1"/>
    <col min="12547" max="12547" width="23.5703125" style="20" customWidth="1"/>
    <col min="12548" max="12548" width="26.85546875" style="20" customWidth="1"/>
    <col min="12549" max="12549" width="16.140625" style="20" customWidth="1"/>
    <col min="12550" max="12550" width="15.42578125" style="20" customWidth="1"/>
    <col min="12551" max="12551" width="2.140625" style="20" customWidth="1"/>
    <col min="12552" max="12552" width="14" style="20" customWidth="1"/>
    <col min="12553" max="12553" width="2.140625" style="20" customWidth="1"/>
    <col min="12554" max="12554" width="15.42578125" style="20" customWidth="1"/>
    <col min="12555" max="12800" width="9.140625" style="20"/>
    <col min="12801" max="12801" width="13.85546875" style="20" customWidth="1"/>
    <col min="12802" max="12802" width="2.140625" style="20" customWidth="1"/>
    <col min="12803" max="12803" width="23.5703125" style="20" customWidth="1"/>
    <col min="12804" max="12804" width="26.85546875" style="20" customWidth="1"/>
    <col min="12805" max="12805" width="16.140625" style="20" customWidth="1"/>
    <col min="12806" max="12806" width="15.42578125" style="20" customWidth="1"/>
    <col min="12807" max="12807" width="2.140625" style="20" customWidth="1"/>
    <col min="12808" max="12808" width="14" style="20" customWidth="1"/>
    <col min="12809" max="12809" width="2.140625" style="20" customWidth="1"/>
    <col min="12810" max="12810" width="15.42578125" style="20" customWidth="1"/>
    <col min="12811" max="13056" width="9.140625" style="20"/>
    <col min="13057" max="13057" width="13.85546875" style="20" customWidth="1"/>
    <col min="13058" max="13058" width="2.140625" style="20" customWidth="1"/>
    <col min="13059" max="13059" width="23.5703125" style="20" customWidth="1"/>
    <col min="13060" max="13060" width="26.85546875" style="20" customWidth="1"/>
    <col min="13061" max="13061" width="16.140625" style="20" customWidth="1"/>
    <col min="13062" max="13062" width="15.42578125" style="20" customWidth="1"/>
    <col min="13063" max="13063" width="2.140625" style="20" customWidth="1"/>
    <col min="13064" max="13064" width="14" style="20" customWidth="1"/>
    <col min="13065" max="13065" width="2.140625" style="20" customWidth="1"/>
    <col min="13066" max="13066" width="15.42578125" style="20" customWidth="1"/>
    <col min="13067" max="13312" width="9.140625" style="20"/>
    <col min="13313" max="13313" width="13.85546875" style="20" customWidth="1"/>
    <col min="13314" max="13314" width="2.140625" style="20" customWidth="1"/>
    <col min="13315" max="13315" width="23.5703125" style="20" customWidth="1"/>
    <col min="13316" max="13316" width="26.85546875" style="20" customWidth="1"/>
    <col min="13317" max="13317" width="16.140625" style="20" customWidth="1"/>
    <col min="13318" max="13318" width="15.42578125" style="20" customWidth="1"/>
    <col min="13319" max="13319" width="2.140625" style="20" customWidth="1"/>
    <col min="13320" max="13320" width="14" style="20" customWidth="1"/>
    <col min="13321" max="13321" width="2.140625" style="20" customWidth="1"/>
    <col min="13322" max="13322" width="15.42578125" style="20" customWidth="1"/>
    <col min="13323" max="13568" width="9.140625" style="20"/>
    <col min="13569" max="13569" width="13.85546875" style="20" customWidth="1"/>
    <col min="13570" max="13570" width="2.140625" style="20" customWidth="1"/>
    <col min="13571" max="13571" width="23.5703125" style="20" customWidth="1"/>
    <col min="13572" max="13572" width="26.85546875" style="20" customWidth="1"/>
    <col min="13573" max="13573" width="16.140625" style="20" customWidth="1"/>
    <col min="13574" max="13574" width="15.42578125" style="20" customWidth="1"/>
    <col min="13575" max="13575" width="2.140625" style="20" customWidth="1"/>
    <col min="13576" max="13576" width="14" style="20" customWidth="1"/>
    <col min="13577" max="13577" width="2.140625" style="20" customWidth="1"/>
    <col min="13578" max="13578" width="15.42578125" style="20" customWidth="1"/>
    <col min="13579" max="13824" width="9.140625" style="20"/>
    <col min="13825" max="13825" width="13.85546875" style="20" customWidth="1"/>
    <col min="13826" max="13826" width="2.140625" style="20" customWidth="1"/>
    <col min="13827" max="13827" width="23.5703125" style="20" customWidth="1"/>
    <col min="13828" max="13828" width="26.85546875" style="20" customWidth="1"/>
    <col min="13829" max="13829" width="16.140625" style="20" customWidth="1"/>
    <col min="13830" max="13830" width="15.42578125" style="20" customWidth="1"/>
    <col min="13831" max="13831" width="2.140625" style="20" customWidth="1"/>
    <col min="13832" max="13832" width="14" style="20" customWidth="1"/>
    <col min="13833" max="13833" width="2.140625" style="20" customWidth="1"/>
    <col min="13834" max="13834" width="15.42578125" style="20" customWidth="1"/>
    <col min="13835" max="14080" width="9.140625" style="20"/>
    <col min="14081" max="14081" width="13.85546875" style="20" customWidth="1"/>
    <col min="14082" max="14082" width="2.140625" style="20" customWidth="1"/>
    <col min="14083" max="14083" width="23.5703125" style="20" customWidth="1"/>
    <col min="14084" max="14084" width="26.85546875" style="20" customWidth="1"/>
    <col min="14085" max="14085" width="16.140625" style="20" customWidth="1"/>
    <col min="14086" max="14086" width="15.42578125" style="20" customWidth="1"/>
    <col min="14087" max="14087" width="2.140625" style="20" customWidth="1"/>
    <col min="14088" max="14088" width="14" style="20" customWidth="1"/>
    <col min="14089" max="14089" width="2.140625" style="20" customWidth="1"/>
    <col min="14090" max="14090" width="15.42578125" style="20" customWidth="1"/>
    <col min="14091" max="14336" width="9.140625" style="20"/>
    <col min="14337" max="14337" width="13.85546875" style="20" customWidth="1"/>
    <col min="14338" max="14338" width="2.140625" style="20" customWidth="1"/>
    <col min="14339" max="14339" width="23.5703125" style="20" customWidth="1"/>
    <col min="14340" max="14340" width="26.85546875" style="20" customWidth="1"/>
    <col min="14341" max="14341" width="16.140625" style="20" customWidth="1"/>
    <col min="14342" max="14342" width="15.42578125" style="20" customWidth="1"/>
    <col min="14343" max="14343" width="2.140625" style="20" customWidth="1"/>
    <col min="14344" max="14344" width="14" style="20" customWidth="1"/>
    <col min="14345" max="14345" width="2.140625" style="20" customWidth="1"/>
    <col min="14346" max="14346" width="15.42578125" style="20" customWidth="1"/>
    <col min="14347" max="14592" width="9.140625" style="20"/>
    <col min="14593" max="14593" width="13.85546875" style="20" customWidth="1"/>
    <col min="14594" max="14594" width="2.140625" style="20" customWidth="1"/>
    <col min="14595" max="14595" width="23.5703125" style="20" customWidth="1"/>
    <col min="14596" max="14596" width="26.85546875" style="20" customWidth="1"/>
    <col min="14597" max="14597" width="16.140625" style="20" customWidth="1"/>
    <col min="14598" max="14598" width="15.42578125" style="20" customWidth="1"/>
    <col min="14599" max="14599" width="2.140625" style="20" customWidth="1"/>
    <col min="14600" max="14600" width="14" style="20" customWidth="1"/>
    <col min="14601" max="14601" width="2.140625" style="20" customWidth="1"/>
    <col min="14602" max="14602" width="15.42578125" style="20" customWidth="1"/>
    <col min="14603" max="14848" width="9.140625" style="20"/>
    <col min="14849" max="14849" width="13.85546875" style="20" customWidth="1"/>
    <col min="14850" max="14850" width="2.140625" style="20" customWidth="1"/>
    <col min="14851" max="14851" width="23.5703125" style="20" customWidth="1"/>
    <col min="14852" max="14852" width="26.85546875" style="20" customWidth="1"/>
    <col min="14853" max="14853" width="16.140625" style="20" customWidth="1"/>
    <col min="14854" max="14854" width="15.42578125" style="20" customWidth="1"/>
    <col min="14855" max="14855" width="2.140625" style="20" customWidth="1"/>
    <col min="14856" max="14856" width="14" style="20" customWidth="1"/>
    <col min="14857" max="14857" width="2.140625" style="20" customWidth="1"/>
    <col min="14858" max="14858" width="15.42578125" style="20" customWidth="1"/>
    <col min="14859" max="15104" width="9.140625" style="20"/>
    <col min="15105" max="15105" width="13.85546875" style="20" customWidth="1"/>
    <col min="15106" max="15106" width="2.140625" style="20" customWidth="1"/>
    <col min="15107" max="15107" width="23.5703125" style="20" customWidth="1"/>
    <col min="15108" max="15108" width="26.85546875" style="20" customWidth="1"/>
    <col min="15109" max="15109" width="16.140625" style="20" customWidth="1"/>
    <col min="15110" max="15110" width="15.42578125" style="20" customWidth="1"/>
    <col min="15111" max="15111" width="2.140625" style="20" customWidth="1"/>
    <col min="15112" max="15112" width="14" style="20" customWidth="1"/>
    <col min="15113" max="15113" width="2.140625" style="20" customWidth="1"/>
    <col min="15114" max="15114" width="15.42578125" style="20" customWidth="1"/>
    <col min="15115" max="15360" width="9.140625" style="20"/>
    <col min="15361" max="15361" width="13.85546875" style="20" customWidth="1"/>
    <col min="15362" max="15362" width="2.140625" style="20" customWidth="1"/>
    <col min="15363" max="15363" width="23.5703125" style="20" customWidth="1"/>
    <col min="15364" max="15364" width="26.85546875" style="20" customWidth="1"/>
    <col min="15365" max="15365" width="16.140625" style="20" customWidth="1"/>
    <col min="15366" max="15366" width="15.42578125" style="20" customWidth="1"/>
    <col min="15367" max="15367" width="2.140625" style="20" customWidth="1"/>
    <col min="15368" max="15368" width="14" style="20" customWidth="1"/>
    <col min="15369" max="15369" width="2.140625" style="20" customWidth="1"/>
    <col min="15370" max="15370" width="15.42578125" style="20" customWidth="1"/>
    <col min="15371" max="15616" width="9.140625" style="20"/>
    <col min="15617" max="15617" width="13.85546875" style="20" customWidth="1"/>
    <col min="15618" max="15618" width="2.140625" style="20" customWidth="1"/>
    <col min="15619" max="15619" width="23.5703125" style="20" customWidth="1"/>
    <col min="15620" max="15620" width="26.85546875" style="20" customWidth="1"/>
    <col min="15621" max="15621" width="16.140625" style="20" customWidth="1"/>
    <col min="15622" max="15622" width="15.42578125" style="20" customWidth="1"/>
    <col min="15623" max="15623" width="2.140625" style="20" customWidth="1"/>
    <col min="15624" max="15624" width="14" style="20" customWidth="1"/>
    <col min="15625" max="15625" width="2.140625" style="20" customWidth="1"/>
    <col min="15626" max="15626" width="15.42578125" style="20" customWidth="1"/>
    <col min="15627" max="15872" width="9.140625" style="20"/>
    <col min="15873" max="15873" width="13.85546875" style="20" customWidth="1"/>
    <col min="15874" max="15874" width="2.140625" style="20" customWidth="1"/>
    <col min="15875" max="15875" width="23.5703125" style="20" customWidth="1"/>
    <col min="15876" max="15876" width="26.85546875" style="20" customWidth="1"/>
    <col min="15877" max="15877" width="16.140625" style="20" customWidth="1"/>
    <col min="15878" max="15878" width="15.42578125" style="20" customWidth="1"/>
    <col min="15879" max="15879" width="2.140625" style="20" customWidth="1"/>
    <col min="15880" max="15880" width="14" style="20" customWidth="1"/>
    <col min="15881" max="15881" width="2.140625" style="20" customWidth="1"/>
    <col min="15882" max="15882" width="15.42578125" style="20" customWidth="1"/>
    <col min="15883" max="16128" width="9.140625" style="20"/>
    <col min="16129" max="16129" width="13.85546875" style="20" customWidth="1"/>
    <col min="16130" max="16130" width="2.140625" style="20" customWidth="1"/>
    <col min="16131" max="16131" width="23.5703125" style="20" customWidth="1"/>
    <col min="16132" max="16132" width="26.85546875" style="20" customWidth="1"/>
    <col min="16133" max="16133" width="16.140625" style="20" customWidth="1"/>
    <col min="16134" max="16134" width="15.42578125" style="20" customWidth="1"/>
    <col min="16135" max="16135" width="2.140625" style="20" customWidth="1"/>
    <col min="16136" max="16136" width="14" style="20" customWidth="1"/>
    <col min="16137" max="16137" width="2.140625" style="20" customWidth="1"/>
    <col min="16138" max="16138" width="15.42578125" style="20" customWidth="1"/>
    <col min="16139" max="16384" width="9.140625" style="20"/>
  </cols>
  <sheetData>
    <row r="1" spans="1:11" ht="23.1" customHeight="1" x14ac:dyDescent="0.2">
      <c r="A1" s="23" t="s">
        <v>55</v>
      </c>
      <c r="B1" s="23" t="s">
        <v>56</v>
      </c>
      <c r="E1" s="24" t="s">
        <v>57</v>
      </c>
      <c r="F1" s="24" t="s">
        <v>58</v>
      </c>
      <c r="H1" s="24" t="s">
        <v>59</v>
      </c>
      <c r="J1" s="24" t="s">
        <v>60</v>
      </c>
    </row>
    <row r="2" spans="1:11" ht="15.95" customHeight="1" x14ac:dyDescent="0.2">
      <c r="A2" s="26">
        <v>1</v>
      </c>
      <c r="B2" s="369" t="s">
        <v>62</v>
      </c>
      <c r="C2" s="370"/>
      <c r="D2" s="370"/>
      <c r="E2" s="27">
        <v>337159374.25999999</v>
      </c>
      <c r="F2" s="27">
        <v>113786961.08</v>
      </c>
      <c r="H2" s="27">
        <v>130134559.87</v>
      </c>
      <c r="J2" s="27">
        <v>320811775.47000003</v>
      </c>
      <c r="K2" s="25">
        <f>J2-E2</f>
        <v>-16347598.789999962</v>
      </c>
    </row>
    <row r="3" spans="1:11" ht="15.95" customHeight="1" x14ac:dyDescent="0.2">
      <c r="A3" s="26">
        <v>11</v>
      </c>
      <c r="B3" s="369" t="s">
        <v>63</v>
      </c>
      <c r="C3" s="370"/>
      <c r="D3" s="370"/>
      <c r="E3" s="27">
        <v>10734651.66</v>
      </c>
      <c r="F3" s="27">
        <v>77509606.540000007</v>
      </c>
      <c r="H3" s="27">
        <v>79731898.75</v>
      </c>
      <c r="J3" s="27">
        <v>8512359.4499999993</v>
      </c>
      <c r="K3" s="25">
        <f t="shared" ref="K3:K66" si="0">J3-E3</f>
        <v>-2222292.2100000009</v>
      </c>
    </row>
    <row r="4" spans="1:11" ht="15.95" customHeight="1" x14ac:dyDescent="0.2">
      <c r="A4" s="28">
        <v>111</v>
      </c>
      <c r="B4" s="371" t="s">
        <v>64</v>
      </c>
      <c r="C4" s="372"/>
      <c r="D4" s="372"/>
      <c r="E4" s="29">
        <v>3648964.03</v>
      </c>
      <c r="F4" s="29">
        <v>43479565.32</v>
      </c>
      <c r="G4" s="30"/>
      <c r="H4" s="29">
        <v>45154180.170000002</v>
      </c>
      <c r="I4" s="30"/>
      <c r="J4" s="29">
        <v>1974349.18</v>
      </c>
      <c r="K4" s="31">
        <f t="shared" si="0"/>
        <v>-1674614.8499999999</v>
      </c>
    </row>
    <row r="5" spans="1:11" ht="15.95" customHeight="1" x14ac:dyDescent="0.2">
      <c r="A5" s="26">
        <v>11101</v>
      </c>
      <c r="B5" s="369" t="s">
        <v>65</v>
      </c>
      <c r="C5" s="370"/>
      <c r="D5" s="370"/>
      <c r="E5" s="27">
        <v>157.93</v>
      </c>
      <c r="F5" s="27">
        <v>168251.51999999999</v>
      </c>
      <c r="H5" s="27">
        <v>164861.54</v>
      </c>
      <c r="J5" s="27">
        <v>3547.91</v>
      </c>
      <c r="K5" s="25">
        <f t="shared" si="0"/>
        <v>3389.98</v>
      </c>
    </row>
    <row r="6" spans="1:11" ht="15.95" customHeight="1" x14ac:dyDescent="0.2">
      <c r="A6" s="26">
        <v>1110101</v>
      </c>
      <c r="B6" s="369" t="s">
        <v>66</v>
      </c>
      <c r="C6" s="370"/>
      <c r="D6" s="370"/>
      <c r="E6" s="27">
        <v>157.93</v>
      </c>
      <c r="F6" s="27">
        <v>168251.51999999999</v>
      </c>
      <c r="H6" s="27">
        <v>164861.54</v>
      </c>
      <c r="J6" s="27">
        <v>3547.91</v>
      </c>
      <c r="K6" s="25">
        <f t="shared" si="0"/>
        <v>3389.98</v>
      </c>
    </row>
    <row r="7" spans="1:11" ht="15.95" customHeight="1" x14ac:dyDescent="0.2">
      <c r="A7" s="26" t="s">
        <v>67</v>
      </c>
      <c r="B7" s="369" t="s">
        <v>68</v>
      </c>
      <c r="C7" s="370"/>
      <c r="D7" s="370"/>
      <c r="E7" s="27">
        <v>157.93</v>
      </c>
      <c r="F7" s="27">
        <v>168251.51999999999</v>
      </c>
      <c r="H7" s="27">
        <v>164861.54</v>
      </c>
      <c r="J7" s="27">
        <v>3547.91</v>
      </c>
      <c r="K7" s="25">
        <f t="shared" si="0"/>
        <v>3389.98</v>
      </c>
    </row>
    <row r="8" spans="1:11" ht="15.95" customHeight="1" x14ac:dyDescent="0.2">
      <c r="A8" s="26">
        <v>11102</v>
      </c>
      <c r="B8" s="369" t="s">
        <v>69</v>
      </c>
      <c r="C8" s="370"/>
      <c r="D8" s="370"/>
      <c r="E8" s="27">
        <v>0</v>
      </c>
      <c r="F8" s="27">
        <v>24123.82</v>
      </c>
      <c r="H8" s="27">
        <v>24123.82</v>
      </c>
      <c r="J8" s="27">
        <v>0</v>
      </c>
      <c r="K8" s="25">
        <f t="shared" si="0"/>
        <v>0</v>
      </c>
    </row>
    <row r="9" spans="1:11" ht="15.95" customHeight="1" x14ac:dyDescent="0.2">
      <c r="A9" s="26">
        <v>1110204</v>
      </c>
      <c r="B9" s="369" t="s">
        <v>70</v>
      </c>
      <c r="C9" s="370"/>
      <c r="D9" s="370"/>
      <c r="E9" s="27">
        <v>0</v>
      </c>
      <c r="F9" s="27">
        <v>24123.82</v>
      </c>
      <c r="H9" s="27">
        <v>24123.82</v>
      </c>
      <c r="J9" s="27">
        <v>0</v>
      </c>
      <c r="K9" s="25">
        <f t="shared" si="0"/>
        <v>0</v>
      </c>
    </row>
    <row r="10" spans="1:11" ht="15.95" customHeight="1" x14ac:dyDescent="0.2">
      <c r="A10" s="26" t="s">
        <v>1437</v>
      </c>
      <c r="B10" s="369" t="s">
        <v>1438</v>
      </c>
      <c r="C10" s="370"/>
      <c r="D10" s="370"/>
      <c r="E10" s="27">
        <v>0</v>
      </c>
      <c r="F10" s="27">
        <v>8000</v>
      </c>
      <c r="H10" s="27">
        <v>8000</v>
      </c>
      <c r="J10" s="27">
        <v>0</v>
      </c>
      <c r="K10" s="25">
        <f t="shared" si="0"/>
        <v>0</v>
      </c>
    </row>
    <row r="11" spans="1:11" ht="15.95" customHeight="1" x14ac:dyDescent="0.2">
      <c r="A11" s="26" t="s">
        <v>1439</v>
      </c>
      <c r="B11" s="369" t="s">
        <v>1440</v>
      </c>
      <c r="C11" s="370"/>
      <c r="D11" s="370"/>
      <c r="E11" s="27">
        <v>0</v>
      </c>
      <c r="F11" s="27">
        <v>12123.82</v>
      </c>
      <c r="H11" s="27">
        <v>12123.82</v>
      </c>
      <c r="J11" s="27">
        <v>0</v>
      </c>
      <c r="K11" s="25">
        <f t="shared" si="0"/>
        <v>0</v>
      </c>
    </row>
    <row r="12" spans="1:11" ht="15.95" customHeight="1" x14ac:dyDescent="0.2">
      <c r="A12" s="26" t="s">
        <v>71</v>
      </c>
      <c r="B12" s="369" t="s">
        <v>72</v>
      </c>
      <c r="C12" s="370"/>
      <c r="D12" s="370"/>
      <c r="E12" s="27">
        <v>0</v>
      </c>
      <c r="F12" s="27">
        <v>4000</v>
      </c>
      <c r="H12" s="27">
        <v>4000</v>
      </c>
      <c r="J12" s="27">
        <v>0</v>
      </c>
      <c r="K12" s="25">
        <f t="shared" si="0"/>
        <v>0</v>
      </c>
    </row>
    <row r="13" spans="1:11" ht="15.95" customHeight="1" x14ac:dyDescent="0.2">
      <c r="A13" s="26">
        <v>11103</v>
      </c>
      <c r="B13" s="369" t="s">
        <v>77</v>
      </c>
      <c r="C13" s="370"/>
      <c r="D13" s="370"/>
      <c r="E13" s="27">
        <v>423223.15</v>
      </c>
      <c r="F13" s="27">
        <v>36151094.359999999</v>
      </c>
      <c r="H13" s="27">
        <v>35631800.200000003</v>
      </c>
      <c r="J13" s="27">
        <v>942517.31</v>
      </c>
      <c r="K13" s="25">
        <f t="shared" si="0"/>
        <v>519294.16000000003</v>
      </c>
    </row>
    <row r="14" spans="1:11" ht="15.95" customHeight="1" x14ac:dyDescent="0.2">
      <c r="A14" s="26">
        <v>1110301</v>
      </c>
      <c r="B14" s="369" t="s">
        <v>78</v>
      </c>
      <c r="C14" s="370"/>
      <c r="D14" s="370"/>
      <c r="E14" s="27">
        <v>423223.15</v>
      </c>
      <c r="F14" s="27">
        <v>36151094.359999999</v>
      </c>
      <c r="H14" s="27">
        <v>35631800.200000003</v>
      </c>
      <c r="J14" s="27">
        <v>942517.31</v>
      </c>
      <c r="K14" s="25">
        <f t="shared" si="0"/>
        <v>519294.16000000003</v>
      </c>
    </row>
    <row r="15" spans="1:11" ht="15.95" customHeight="1" x14ac:dyDescent="0.2">
      <c r="A15" s="26" t="s">
        <v>79</v>
      </c>
      <c r="B15" s="369" t="s">
        <v>80</v>
      </c>
      <c r="C15" s="370"/>
      <c r="D15" s="370"/>
      <c r="E15" s="27">
        <v>423223.15</v>
      </c>
      <c r="F15" s="27">
        <v>36151094.359999999</v>
      </c>
      <c r="H15" s="27">
        <v>35631800.200000003</v>
      </c>
      <c r="J15" s="27">
        <v>942517.31</v>
      </c>
      <c r="K15" s="25">
        <f t="shared" si="0"/>
        <v>519294.16000000003</v>
      </c>
    </row>
    <row r="16" spans="1:11" ht="15.95" customHeight="1" x14ac:dyDescent="0.2">
      <c r="A16" s="26">
        <v>11104</v>
      </c>
      <c r="B16" s="369" t="s">
        <v>81</v>
      </c>
      <c r="C16" s="370"/>
      <c r="D16" s="370"/>
      <c r="E16" s="27">
        <v>977513.55</v>
      </c>
      <c r="F16" s="27">
        <v>3150739.75</v>
      </c>
      <c r="H16" s="27">
        <v>4127262.62</v>
      </c>
      <c r="J16" s="27">
        <v>990.68</v>
      </c>
      <c r="K16" s="25">
        <f t="shared" si="0"/>
        <v>-976522.87</v>
      </c>
    </row>
    <row r="17" spans="1:11" ht="15.95" customHeight="1" x14ac:dyDescent="0.2">
      <c r="A17" s="26">
        <v>1110401</v>
      </c>
      <c r="B17" s="369" t="s">
        <v>82</v>
      </c>
      <c r="C17" s="370"/>
      <c r="D17" s="370"/>
      <c r="E17" s="27">
        <v>977513.55</v>
      </c>
      <c r="F17" s="27">
        <v>3150739.75</v>
      </c>
      <c r="H17" s="27">
        <v>4127262.62</v>
      </c>
      <c r="J17" s="27">
        <v>990.68</v>
      </c>
      <c r="K17" s="25">
        <f t="shared" si="0"/>
        <v>-976522.87</v>
      </c>
    </row>
    <row r="18" spans="1:11" ht="15.95" customHeight="1" x14ac:dyDescent="0.2">
      <c r="A18" s="26" t="s">
        <v>83</v>
      </c>
      <c r="B18" s="369" t="s">
        <v>84</v>
      </c>
      <c r="C18" s="370"/>
      <c r="D18" s="370"/>
      <c r="E18" s="27">
        <v>977513.55</v>
      </c>
      <c r="F18" s="27">
        <v>3150739.75</v>
      </c>
      <c r="H18" s="27">
        <v>4127262.62</v>
      </c>
      <c r="J18" s="27">
        <v>990.68</v>
      </c>
      <c r="K18" s="25">
        <f t="shared" si="0"/>
        <v>-976522.87</v>
      </c>
    </row>
    <row r="19" spans="1:11" ht="15.95" customHeight="1" x14ac:dyDescent="0.2">
      <c r="A19" s="26">
        <v>11105</v>
      </c>
      <c r="B19" s="369" t="s">
        <v>85</v>
      </c>
      <c r="C19" s="370"/>
      <c r="D19" s="370"/>
      <c r="E19" s="27">
        <v>730.24</v>
      </c>
      <c r="F19" s="27">
        <v>22.12</v>
      </c>
      <c r="H19" s="27">
        <v>1.93</v>
      </c>
      <c r="J19" s="27">
        <v>750.43</v>
      </c>
      <c r="K19" s="25">
        <f t="shared" si="0"/>
        <v>20.189999999999941</v>
      </c>
    </row>
    <row r="20" spans="1:11" ht="15.95" customHeight="1" x14ac:dyDescent="0.2">
      <c r="A20" s="26">
        <v>1110501</v>
      </c>
      <c r="B20" s="369" t="s">
        <v>78</v>
      </c>
      <c r="C20" s="370"/>
      <c r="D20" s="370"/>
      <c r="E20" s="27">
        <v>730.24</v>
      </c>
      <c r="F20" s="27">
        <v>22.12</v>
      </c>
      <c r="H20" s="27">
        <v>1.93</v>
      </c>
      <c r="J20" s="27">
        <v>750.43</v>
      </c>
      <c r="K20" s="25">
        <f t="shared" si="0"/>
        <v>20.189999999999941</v>
      </c>
    </row>
    <row r="21" spans="1:11" ht="15.95" customHeight="1" x14ac:dyDescent="0.2">
      <c r="A21" s="26" t="s">
        <v>86</v>
      </c>
      <c r="B21" s="369" t="s">
        <v>87</v>
      </c>
      <c r="C21" s="370"/>
      <c r="D21" s="370"/>
      <c r="E21" s="27">
        <v>286.68</v>
      </c>
      <c r="F21" s="27">
        <v>8.65</v>
      </c>
      <c r="H21" s="27">
        <v>1.93</v>
      </c>
      <c r="J21" s="27">
        <v>293.39999999999998</v>
      </c>
      <c r="K21" s="25">
        <f t="shared" si="0"/>
        <v>6.7199999999999704</v>
      </c>
    </row>
    <row r="22" spans="1:11" ht="15.95" customHeight="1" x14ac:dyDescent="0.2">
      <c r="A22" s="26" t="s">
        <v>88</v>
      </c>
      <c r="B22" s="369" t="s">
        <v>89</v>
      </c>
      <c r="C22" s="370"/>
      <c r="D22" s="370"/>
      <c r="E22" s="27">
        <v>443.56</v>
      </c>
      <c r="F22" s="27">
        <v>13.47</v>
      </c>
      <c r="H22" s="27">
        <v>0</v>
      </c>
      <c r="J22" s="27">
        <v>457.03</v>
      </c>
      <c r="K22" s="25">
        <f t="shared" si="0"/>
        <v>13.46999999999997</v>
      </c>
    </row>
    <row r="23" spans="1:11" ht="15.95" customHeight="1" x14ac:dyDescent="0.2">
      <c r="A23" s="26">
        <v>11106</v>
      </c>
      <c r="B23" s="369" t="s">
        <v>90</v>
      </c>
      <c r="C23" s="370"/>
      <c r="D23" s="370"/>
      <c r="E23" s="27">
        <v>2247339.16</v>
      </c>
      <c r="F23" s="27">
        <v>3985333.75</v>
      </c>
      <c r="H23" s="27">
        <v>5206130.0599999996</v>
      </c>
      <c r="J23" s="27">
        <v>1026542.85</v>
      </c>
      <c r="K23" s="25">
        <f t="shared" si="0"/>
        <v>-1220796.31</v>
      </c>
    </row>
    <row r="24" spans="1:11" ht="15.95" customHeight="1" x14ac:dyDescent="0.2">
      <c r="A24" s="26">
        <v>1110601</v>
      </c>
      <c r="B24" s="369" t="s">
        <v>78</v>
      </c>
      <c r="C24" s="370"/>
      <c r="D24" s="370"/>
      <c r="E24" s="27">
        <v>2247339.16</v>
      </c>
      <c r="F24" s="27">
        <v>3985333.75</v>
      </c>
      <c r="H24" s="27">
        <v>5206130.0599999996</v>
      </c>
      <c r="J24" s="27">
        <v>1026542.85</v>
      </c>
      <c r="K24" s="25">
        <f t="shared" si="0"/>
        <v>-1220796.31</v>
      </c>
    </row>
    <row r="25" spans="1:11" ht="15.95" customHeight="1" x14ac:dyDescent="0.2">
      <c r="A25" s="26" t="s">
        <v>91</v>
      </c>
      <c r="B25" s="369" t="s">
        <v>92</v>
      </c>
      <c r="C25" s="370"/>
      <c r="D25" s="370"/>
      <c r="E25" s="27">
        <v>0</v>
      </c>
      <c r="F25" s="27">
        <v>2557399.5</v>
      </c>
      <c r="H25" s="27">
        <v>2543961.98</v>
      </c>
      <c r="J25" s="27">
        <v>13437.52</v>
      </c>
      <c r="K25" s="25">
        <f t="shared" si="0"/>
        <v>13437.52</v>
      </c>
    </row>
    <row r="26" spans="1:11" ht="15.95" customHeight="1" x14ac:dyDescent="0.2">
      <c r="A26" s="26" t="s">
        <v>93</v>
      </c>
      <c r="B26" s="369" t="s">
        <v>94</v>
      </c>
      <c r="C26" s="370"/>
      <c r="D26" s="370"/>
      <c r="E26" s="27">
        <v>2247339.16</v>
      </c>
      <c r="F26" s="27">
        <v>1427934.25</v>
      </c>
      <c r="H26" s="27">
        <v>2662168.08</v>
      </c>
      <c r="J26" s="27">
        <v>1013105.33</v>
      </c>
      <c r="K26" s="25">
        <f t="shared" si="0"/>
        <v>-1234233.83</v>
      </c>
    </row>
    <row r="27" spans="1:11" ht="15.95" customHeight="1" x14ac:dyDescent="0.2">
      <c r="A27" s="26">
        <v>112</v>
      </c>
      <c r="B27" s="369" t="s">
        <v>95</v>
      </c>
      <c r="C27" s="370"/>
      <c r="D27" s="370"/>
      <c r="E27" s="27">
        <v>5502731.1399999997</v>
      </c>
      <c r="F27" s="27">
        <v>33134059.370000001</v>
      </c>
      <c r="H27" s="27">
        <v>34020596.159999996</v>
      </c>
      <c r="J27" s="27">
        <v>4616194.3499999996</v>
      </c>
      <c r="K27" s="25">
        <f t="shared" si="0"/>
        <v>-886536.79</v>
      </c>
    </row>
    <row r="28" spans="1:11" ht="15.95" customHeight="1" x14ac:dyDescent="0.2">
      <c r="A28" s="28">
        <v>11201</v>
      </c>
      <c r="B28" s="371" t="s">
        <v>96</v>
      </c>
      <c r="C28" s="372"/>
      <c r="D28" s="372"/>
      <c r="E28" s="29">
        <v>5138611.76</v>
      </c>
      <c r="F28" s="29">
        <v>31028289.43</v>
      </c>
      <c r="G28" s="30"/>
      <c r="H28" s="29">
        <v>32253264.800000001</v>
      </c>
      <c r="I28" s="30"/>
      <c r="J28" s="29">
        <v>3913636.39</v>
      </c>
      <c r="K28" s="31">
        <f t="shared" si="0"/>
        <v>-1224975.3699999996</v>
      </c>
    </row>
    <row r="29" spans="1:11" ht="15.95" customHeight="1" x14ac:dyDescent="0.2">
      <c r="A29" s="26">
        <v>1120101</v>
      </c>
      <c r="B29" s="369" t="s">
        <v>97</v>
      </c>
      <c r="C29" s="370"/>
      <c r="D29" s="370"/>
      <c r="E29" s="27">
        <v>5078246.1399999997</v>
      </c>
      <c r="F29" s="27">
        <v>31023430.73</v>
      </c>
      <c r="H29" s="27">
        <v>32247434.359999999</v>
      </c>
      <c r="J29" s="27">
        <v>3854242.51</v>
      </c>
      <c r="K29" s="25">
        <f t="shared" si="0"/>
        <v>-1224003.6299999999</v>
      </c>
    </row>
    <row r="30" spans="1:11" ht="15.95" customHeight="1" x14ac:dyDescent="0.2">
      <c r="A30" s="26" t="s">
        <v>98</v>
      </c>
      <c r="B30" s="369" t="s">
        <v>99</v>
      </c>
      <c r="C30" s="370"/>
      <c r="D30" s="370"/>
      <c r="E30" s="27">
        <v>5078246.1399999997</v>
      </c>
      <c r="F30" s="27">
        <v>31023430.73</v>
      </c>
      <c r="H30" s="27">
        <v>32247434.359999999</v>
      </c>
      <c r="J30" s="27">
        <v>3854242.51</v>
      </c>
      <c r="K30" s="25">
        <f t="shared" si="0"/>
        <v>-1224003.6299999999</v>
      </c>
    </row>
    <row r="31" spans="1:11" ht="15.95" customHeight="1" x14ac:dyDescent="0.2">
      <c r="A31" s="26">
        <v>1120102</v>
      </c>
      <c r="B31" s="369" t="s">
        <v>100</v>
      </c>
      <c r="C31" s="370"/>
      <c r="D31" s="370"/>
      <c r="E31" s="27">
        <v>60365.62</v>
      </c>
      <c r="F31" s="27">
        <v>4858.7</v>
      </c>
      <c r="H31" s="27">
        <v>5830.44</v>
      </c>
      <c r="J31" s="27">
        <v>59393.88</v>
      </c>
      <c r="K31" s="25">
        <f t="shared" si="0"/>
        <v>-971.74000000000524</v>
      </c>
    </row>
    <row r="32" spans="1:11" ht="15.95" customHeight="1" x14ac:dyDescent="0.2">
      <c r="A32" s="26" t="s">
        <v>101</v>
      </c>
      <c r="B32" s="369" t="s">
        <v>102</v>
      </c>
      <c r="C32" s="370"/>
      <c r="D32" s="370"/>
      <c r="E32" s="27">
        <v>44032.56</v>
      </c>
      <c r="F32" s="27">
        <v>0</v>
      </c>
      <c r="H32" s="27">
        <v>0</v>
      </c>
      <c r="J32" s="27">
        <v>44032.56</v>
      </c>
      <c r="K32" s="25">
        <f t="shared" si="0"/>
        <v>0</v>
      </c>
    </row>
    <row r="33" spans="1:11" ht="15.95" customHeight="1" x14ac:dyDescent="0.2">
      <c r="A33" s="26" t="s">
        <v>103</v>
      </c>
      <c r="B33" s="369" t="s">
        <v>104</v>
      </c>
      <c r="C33" s="370"/>
      <c r="D33" s="370"/>
      <c r="E33" s="27">
        <v>4672.18</v>
      </c>
      <c r="F33" s="27">
        <v>0</v>
      </c>
      <c r="H33" s="27">
        <v>0</v>
      </c>
      <c r="J33" s="27">
        <v>4672.18</v>
      </c>
      <c r="K33" s="25">
        <f t="shared" si="0"/>
        <v>0</v>
      </c>
    </row>
    <row r="34" spans="1:11" ht="15.95" customHeight="1" x14ac:dyDescent="0.2">
      <c r="A34" s="26" t="s">
        <v>105</v>
      </c>
      <c r="B34" s="369" t="s">
        <v>106</v>
      </c>
      <c r="C34" s="370"/>
      <c r="D34" s="370"/>
      <c r="E34" s="27">
        <v>11660.88</v>
      </c>
      <c r="F34" s="27">
        <v>4858.7</v>
      </c>
      <c r="H34" s="27">
        <v>5830.44</v>
      </c>
      <c r="J34" s="27">
        <v>10689.14</v>
      </c>
      <c r="K34" s="25">
        <f t="shared" si="0"/>
        <v>-971.73999999999978</v>
      </c>
    </row>
    <row r="35" spans="1:11" ht="15.95" customHeight="1" x14ac:dyDescent="0.2">
      <c r="A35" s="28">
        <v>11202</v>
      </c>
      <c r="B35" s="371" t="s">
        <v>115</v>
      </c>
      <c r="C35" s="372"/>
      <c r="D35" s="372"/>
      <c r="E35" s="29">
        <v>-401782.38</v>
      </c>
      <c r="F35" s="29">
        <v>178092.19</v>
      </c>
      <c r="G35" s="30"/>
      <c r="H35" s="29">
        <v>114901.16</v>
      </c>
      <c r="I35" s="30"/>
      <c r="J35" s="29">
        <v>-338591.35</v>
      </c>
      <c r="K35" s="31">
        <f t="shared" si="0"/>
        <v>63191.030000000028</v>
      </c>
    </row>
    <row r="36" spans="1:11" ht="15.95" customHeight="1" x14ac:dyDescent="0.2">
      <c r="A36" s="26">
        <v>1120201</v>
      </c>
      <c r="B36" s="369" t="s">
        <v>116</v>
      </c>
      <c r="C36" s="370"/>
      <c r="D36" s="370"/>
      <c r="E36" s="27">
        <v>-401782.38</v>
      </c>
      <c r="F36" s="27">
        <v>178092.19</v>
      </c>
      <c r="H36" s="27">
        <v>114901.16</v>
      </c>
      <c r="J36" s="27">
        <v>-338591.35</v>
      </c>
      <c r="K36" s="25">
        <f t="shared" si="0"/>
        <v>63191.030000000028</v>
      </c>
    </row>
    <row r="37" spans="1:11" ht="15.95" customHeight="1" x14ac:dyDescent="0.2">
      <c r="A37" s="26" t="s">
        <v>117</v>
      </c>
      <c r="B37" s="369" t="s">
        <v>118</v>
      </c>
      <c r="C37" s="370"/>
      <c r="D37" s="370"/>
      <c r="E37" s="27">
        <v>-401782.38</v>
      </c>
      <c r="F37" s="27">
        <v>178092.19</v>
      </c>
      <c r="H37" s="27">
        <v>114901.16</v>
      </c>
      <c r="J37" s="27">
        <v>-338591.35</v>
      </c>
      <c r="K37" s="25">
        <f t="shared" si="0"/>
        <v>63191.030000000028</v>
      </c>
    </row>
    <row r="38" spans="1:11" ht="15.95" customHeight="1" x14ac:dyDescent="0.2">
      <c r="A38" s="28">
        <v>11204</v>
      </c>
      <c r="B38" s="371" t="s">
        <v>119</v>
      </c>
      <c r="C38" s="372"/>
      <c r="D38" s="372"/>
      <c r="E38" s="29">
        <v>83534.080000000002</v>
      </c>
      <c r="F38" s="29">
        <v>262477.05</v>
      </c>
      <c r="G38" s="30"/>
      <c r="H38" s="29">
        <v>292779.23</v>
      </c>
      <c r="I38" s="30"/>
      <c r="J38" s="29">
        <v>53231.9</v>
      </c>
      <c r="K38" s="31">
        <f t="shared" si="0"/>
        <v>-30302.18</v>
      </c>
    </row>
    <row r="39" spans="1:11" ht="15.95" customHeight="1" x14ac:dyDescent="0.2">
      <c r="A39" s="26">
        <v>1120401</v>
      </c>
      <c r="B39" s="369" t="s">
        <v>120</v>
      </c>
      <c r="C39" s="370"/>
      <c r="D39" s="370"/>
      <c r="E39" s="27">
        <v>39344.06</v>
      </c>
      <c r="F39" s="27">
        <v>125287.61</v>
      </c>
      <c r="H39" s="27">
        <v>151823.67000000001</v>
      </c>
      <c r="J39" s="27">
        <v>12808</v>
      </c>
      <c r="K39" s="25">
        <f t="shared" si="0"/>
        <v>-26536.059999999998</v>
      </c>
    </row>
    <row r="40" spans="1:11" ht="15.95" customHeight="1" x14ac:dyDescent="0.2">
      <c r="A40" s="26" t="s">
        <v>121</v>
      </c>
      <c r="B40" s="369" t="s">
        <v>122</v>
      </c>
      <c r="C40" s="370"/>
      <c r="D40" s="370"/>
      <c r="E40" s="27">
        <v>39344.06</v>
      </c>
      <c r="F40" s="27">
        <v>125287.61</v>
      </c>
      <c r="H40" s="27">
        <v>151823.67000000001</v>
      </c>
      <c r="J40" s="27">
        <v>12808</v>
      </c>
      <c r="K40" s="25">
        <f t="shared" si="0"/>
        <v>-26536.059999999998</v>
      </c>
    </row>
    <row r="41" spans="1:11" ht="15.95" customHeight="1" x14ac:dyDescent="0.2">
      <c r="A41" s="26">
        <v>1120407</v>
      </c>
      <c r="B41" s="369" t="s">
        <v>123</v>
      </c>
      <c r="C41" s="370"/>
      <c r="D41" s="370"/>
      <c r="E41" s="27">
        <v>44190.02</v>
      </c>
      <c r="F41" s="27">
        <v>137189.44</v>
      </c>
      <c r="H41" s="27">
        <v>140955.56</v>
      </c>
      <c r="J41" s="27">
        <v>40423.9</v>
      </c>
      <c r="K41" s="25">
        <f t="shared" si="0"/>
        <v>-3766.1199999999953</v>
      </c>
    </row>
    <row r="42" spans="1:11" ht="15.95" customHeight="1" x14ac:dyDescent="0.2">
      <c r="A42" s="26" t="s">
        <v>124</v>
      </c>
      <c r="B42" s="369" t="s">
        <v>125</v>
      </c>
      <c r="C42" s="370"/>
      <c r="D42" s="370"/>
      <c r="E42" s="27">
        <v>44190.02</v>
      </c>
      <c r="F42" s="27">
        <v>137189.44</v>
      </c>
      <c r="H42" s="27">
        <v>140955.56</v>
      </c>
      <c r="J42" s="27">
        <v>40423.9</v>
      </c>
      <c r="K42" s="25">
        <f t="shared" si="0"/>
        <v>-3766.1199999999953</v>
      </c>
    </row>
    <row r="43" spans="1:11" ht="15.95" customHeight="1" x14ac:dyDescent="0.2">
      <c r="A43" s="26">
        <v>11205</v>
      </c>
      <c r="B43" s="369" t="s">
        <v>126</v>
      </c>
      <c r="C43" s="370"/>
      <c r="D43" s="370"/>
      <c r="E43" s="27">
        <v>682367.68</v>
      </c>
      <c r="F43" s="27">
        <v>1665200.7</v>
      </c>
      <c r="H43" s="27">
        <v>1359650.97</v>
      </c>
      <c r="J43" s="27">
        <v>987917.41</v>
      </c>
      <c r="K43" s="25">
        <f t="shared" si="0"/>
        <v>305549.73</v>
      </c>
    </row>
    <row r="44" spans="1:11" ht="15.95" customHeight="1" x14ac:dyDescent="0.2">
      <c r="A44" s="28">
        <v>1120501</v>
      </c>
      <c r="B44" s="371" t="s">
        <v>127</v>
      </c>
      <c r="C44" s="372"/>
      <c r="D44" s="372"/>
      <c r="E44" s="29">
        <v>0</v>
      </c>
      <c r="F44" s="29">
        <v>315740.49</v>
      </c>
      <c r="G44" s="30"/>
      <c r="H44" s="29">
        <v>0</v>
      </c>
      <c r="I44" s="30"/>
      <c r="J44" s="29">
        <v>315740.49</v>
      </c>
      <c r="K44" s="31">
        <f t="shared" si="0"/>
        <v>315740.49</v>
      </c>
    </row>
    <row r="45" spans="1:11" ht="15.95" customHeight="1" x14ac:dyDescent="0.2">
      <c r="A45" s="26" t="s">
        <v>128</v>
      </c>
      <c r="B45" s="369" t="s">
        <v>129</v>
      </c>
      <c r="C45" s="370"/>
      <c r="D45" s="370"/>
      <c r="E45" s="27">
        <v>0</v>
      </c>
      <c r="F45" s="27">
        <v>290719.68</v>
      </c>
      <c r="H45" s="27">
        <v>0</v>
      </c>
      <c r="J45" s="27">
        <v>290719.68</v>
      </c>
      <c r="K45" s="25">
        <f t="shared" si="0"/>
        <v>290719.68</v>
      </c>
    </row>
    <row r="46" spans="1:11" ht="15.95" customHeight="1" x14ac:dyDescent="0.2">
      <c r="A46" s="26" t="s">
        <v>130</v>
      </c>
      <c r="B46" s="369" t="s">
        <v>131</v>
      </c>
      <c r="C46" s="370"/>
      <c r="D46" s="370"/>
      <c r="E46" s="27">
        <v>0</v>
      </c>
      <c r="F46" s="27">
        <v>25020.81</v>
      </c>
      <c r="H46" s="27">
        <v>0</v>
      </c>
      <c r="J46" s="27">
        <v>25020.81</v>
      </c>
      <c r="K46" s="25">
        <f t="shared" si="0"/>
        <v>25020.81</v>
      </c>
    </row>
    <row r="47" spans="1:11" ht="15.95" customHeight="1" x14ac:dyDescent="0.2">
      <c r="A47" s="28">
        <v>1120502</v>
      </c>
      <c r="B47" s="371" t="s">
        <v>132</v>
      </c>
      <c r="C47" s="372"/>
      <c r="D47" s="372"/>
      <c r="E47" s="29">
        <v>640927.68000000005</v>
      </c>
      <c r="F47" s="29">
        <v>1349460.21</v>
      </c>
      <c r="G47" s="30"/>
      <c r="H47" s="29">
        <v>1359650.97</v>
      </c>
      <c r="I47" s="30"/>
      <c r="J47" s="29">
        <v>630736.92000000004</v>
      </c>
      <c r="K47" s="31">
        <f t="shared" si="0"/>
        <v>-10190.760000000009</v>
      </c>
    </row>
    <row r="48" spans="1:11" ht="15.95" customHeight="1" x14ac:dyDescent="0.2">
      <c r="A48" s="26" t="s">
        <v>133</v>
      </c>
      <c r="B48" s="369" t="s">
        <v>134</v>
      </c>
      <c r="C48" s="370"/>
      <c r="D48" s="370"/>
      <c r="E48" s="27">
        <v>1218.1400000000001</v>
      </c>
      <c r="F48" s="27">
        <v>444539.43</v>
      </c>
      <c r="H48" s="27">
        <v>444539.43</v>
      </c>
      <c r="J48" s="27">
        <v>1218.1400000000001</v>
      </c>
      <c r="K48" s="25">
        <f t="shared" si="0"/>
        <v>0</v>
      </c>
    </row>
    <row r="49" spans="1:11" ht="15.95" customHeight="1" x14ac:dyDescent="0.2">
      <c r="A49" s="26" t="s">
        <v>135</v>
      </c>
      <c r="B49" s="369" t="s">
        <v>136</v>
      </c>
      <c r="C49" s="370"/>
      <c r="D49" s="370"/>
      <c r="E49" s="27">
        <v>129838.19</v>
      </c>
      <c r="F49" s="27">
        <v>272421.09000000003</v>
      </c>
      <c r="H49" s="27">
        <v>212568</v>
      </c>
      <c r="J49" s="27">
        <v>189691.28</v>
      </c>
      <c r="K49" s="25">
        <f t="shared" si="0"/>
        <v>59853.09</v>
      </c>
    </row>
    <row r="50" spans="1:11" ht="15.95" customHeight="1" x14ac:dyDescent="0.2">
      <c r="A50" s="26" t="s">
        <v>137</v>
      </c>
      <c r="B50" s="369" t="s">
        <v>138</v>
      </c>
      <c r="C50" s="370"/>
      <c r="D50" s="370"/>
      <c r="E50" s="27">
        <v>509876.27</v>
      </c>
      <c r="F50" s="27">
        <v>175503.29</v>
      </c>
      <c r="H50" s="27">
        <v>657122.28</v>
      </c>
      <c r="J50" s="27">
        <v>28257.279999999999</v>
      </c>
      <c r="K50" s="25">
        <f t="shared" si="0"/>
        <v>-481618.99</v>
      </c>
    </row>
    <row r="51" spans="1:11" ht="15.95" customHeight="1" x14ac:dyDescent="0.2">
      <c r="A51" s="26" t="s">
        <v>139</v>
      </c>
      <c r="B51" s="369" t="s">
        <v>140</v>
      </c>
      <c r="C51" s="370"/>
      <c r="D51" s="370"/>
      <c r="E51" s="27">
        <v>-4.92</v>
      </c>
      <c r="F51" s="27">
        <v>420665.38</v>
      </c>
      <c r="H51" s="27">
        <v>26976.28</v>
      </c>
      <c r="J51" s="27">
        <v>393684.18</v>
      </c>
      <c r="K51" s="25">
        <f t="shared" si="0"/>
        <v>393689.1</v>
      </c>
    </row>
    <row r="52" spans="1:11" ht="15.95" customHeight="1" x14ac:dyDescent="0.2">
      <c r="A52" s="26" t="s">
        <v>141</v>
      </c>
      <c r="B52" s="369" t="s">
        <v>142</v>
      </c>
      <c r="C52" s="370"/>
      <c r="D52" s="370"/>
      <c r="E52" s="27">
        <v>0</v>
      </c>
      <c r="F52" s="27">
        <v>36331.019999999997</v>
      </c>
      <c r="H52" s="27">
        <v>18444.98</v>
      </c>
      <c r="J52" s="27">
        <v>17886.04</v>
      </c>
      <c r="K52" s="25">
        <f t="shared" si="0"/>
        <v>17886.04</v>
      </c>
    </row>
    <row r="53" spans="1:11" ht="15.95" customHeight="1" x14ac:dyDescent="0.2">
      <c r="A53" s="26">
        <v>1120503</v>
      </c>
      <c r="B53" s="369" t="s">
        <v>143</v>
      </c>
      <c r="C53" s="370"/>
      <c r="D53" s="370"/>
      <c r="E53" s="27">
        <v>41440</v>
      </c>
      <c r="F53" s="27">
        <v>0</v>
      </c>
      <c r="H53" s="27">
        <v>0</v>
      </c>
      <c r="J53" s="27">
        <v>41440</v>
      </c>
      <c r="K53" s="25">
        <f t="shared" si="0"/>
        <v>0</v>
      </c>
    </row>
    <row r="54" spans="1:11" ht="15.95" customHeight="1" x14ac:dyDescent="0.2">
      <c r="A54" s="26" t="s">
        <v>144</v>
      </c>
      <c r="B54" s="369" t="s">
        <v>145</v>
      </c>
      <c r="C54" s="370"/>
      <c r="D54" s="370"/>
      <c r="E54" s="27">
        <v>41440</v>
      </c>
      <c r="F54" s="27">
        <v>0</v>
      </c>
      <c r="H54" s="27">
        <v>0</v>
      </c>
      <c r="J54" s="27">
        <v>41440</v>
      </c>
      <c r="K54" s="25">
        <f t="shared" si="0"/>
        <v>0</v>
      </c>
    </row>
    <row r="55" spans="1:11" ht="27.95" customHeight="1" x14ac:dyDescent="0.2">
      <c r="A55" s="28">
        <v>113</v>
      </c>
      <c r="B55" s="371" t="s">
        <v>146</v>
      </c>
      <c r="C55" s="372"/>
      <c r="D55" s="372"/>
      <c r="E55" s="29">
        <v>1256730.98</v>
      </c>
      <c r="F55" s="29">
        <v>813527.09</v>
      </c>
      <c r="G55" s="30"/>
      <c r="H55" s="29">
        <v>306898.90000000002</v>
      </c>
      <c r="I55" s="30"/>
      <c r="J55" s="29">
        <v>1763359.17</v>
      </c>
      <c r="K55" s="31">
        <f t="shared" si="0"/>
        <v>506628.18999999994</v>
      </c>
    </row>
    <row r="56" spans="1:11" ht="15.95" customHeight="1" x14ac:dyDescent="0.2">
      <c r="A56" s="26">
        <v>11301</v>
      </c>
      <c r="B56" s="369" t="s">
        <v>146</v>
      </c>
      <c r="C56" s="370"/>
      <c r="D56" s="370"/>
      <c r="E56" s="27">
        <v>1256730.98</v>
      </c>
      <c r="F56" s="27">
        <v>813527.09</v>
      </c>
      <c r="H56" s="27">
        <v>306898.90000000002</v>
      </c>
      <c r="J56" s="27">
        <v>1763359.17</v>
      </c>
      <c r="K56" s="25">
        <f t="shared" si="0"/>
        <v>506628.18999999994</v>
      </c>
    </row>
    <row r="57" spans="1:11" ht="15.95" customHeight="1" x14ac:dyDescent="0.2">
      <c r="A57" s="26">
        <v>1130101</v>
      </c>
      <c r="B57" s="369" t="s">
        <v>147</v>
      </c>
      <c r="C57" s="370"/>
      <c r="D57" s="370"/>
      <c r="E57" s="27">
        <v>0</v>
      </c>
      <c r="F57" s="27">
        <v>813527.09</v>
      </c>
      <c r="H57" s="27">
        <v>306898.90000000002</v>
      </c>
      <c r="J57" s="27">
        <v>506628.19</v>
      </c>
      <c r="K57" s="25">
        <f t="shared" si="0"/>
        <v>506628.19</v>
      </c>
    </row>
    <row r="58" spans="1:11" ht="15.95" customHeight="1" x14ac:dyDescent="0.2">
      <c r="A58" s="26" t="s">
        <v>148</v>
      </c>
      <c r="B58" s="369" t="s">
        <v>149</v>
      </c>
      <c r="C58" s="370"/>
      <c r="D58" s="370"/>
      <c r="E58" s="27">
        <v>0</v>
      </c>
      <c r="F58" s="27">
        <v>403593.09</v>
      </c>
      <c r="H58" s="27">
        <v>0</v>
      </c>
      <c r="J58" s="27">
        <v>403593.09</v>
      </c>
      <c r="K58" s="25">
        <f t="shared" si="0"/>
        <v>403593.09</v>
      </c>
    </row>
    <row r="59" spans="1:11" ht="15.95" customHeight="1" x14ac:dyDescent="0.2">
      <c r="A59" s="26" t="s">
        <v>150</v>
      </c>
      <c r="B59" s="369" t="s">
        <v>151</v>
      </c>
      <c r="C59" s="370"/>
      <c r="D59" s="370"/>
      <c r="E59" s="27">
        <v>0</v>
      </c>
      <c r="F59" s="27">
        <v>18953.169999999998</v>
      </c>
      <c r="H59" s="27">
        <v>0</v>
      </c>
      <c r="J59" s="27">
        <v>18953.169999999998</v>
      </c>
      <c r="K59" s="25">
        <f t="shared" si="0"/>
        <v>18953.169999999998</v>
      </c>
    </row>
    <row r="60" spans="1:11" ht="15.95" customHeight="1" x14ac:dyDescent="0.2">
      <c r="A60" s="26" t="s">
        <v>154</v>
      </c>
      <c r="B60" s="369" t="s">
        <v>155</v>
      </c>
      <c r="C60" s="370"/>
      <c r="D60" s="370"/>
      <c r="E60" s="27">
        <v>0</v>
      </c>
      <c r="F60" s="27">
        <v>84081.93</v>
      </c>
      <c r="H60" s="27">
        <v>0</v>
      </c>
      <c r="J60" s="27">
        <v>84081.93</v>
      </c>
      <c r="K60" s="25">
        <f t="shared" si="0"/>
        <v>84081.93</v>
      </c>
    </row>
    <row r="61" spans="1:11" ht="15.95" customHeight="1" x14ac:dyDescent="0.2">
      <c r="A61" s="26" t="s">
        <v>156</v>
      </c>
      <c r="B61" s="369" t="s">
        <v>157</v>
      </c>
      <c r="C61" s="370"/>
      <c r="D61" s="370"/>
      <c r="E61" s="27">
        <v>0</v>
      </c>
      <c r="F61" s="27">
        <v>54653.21</v>
      </c>
      <c r="H61" s="27">
        <v>54653.21</v>
      </c>
      <c r="J61" s="27">
        <v>0</v>
      </c>
      <c r="K61" s="25">
        <f t="shared" si="0"/>
        <v>0</v>
      </c>
    </row>
    <row r="62" spans="1:11" ht="15.95" customHeight="1" x14ac:dyDescent="0.2">
      <c r="A62" s="26" t="s">
        <v>158</v>
      </c>
      <c r="B62" s="369" t="s">
        <v>159</v>
      </c>
      <c r="C62" s="370"/>
      <c r="D62" s="370"/>
      <c r="E62" s="27">
        <v>0</v>
      </c>
      <c r="F62" s="27">
        <v>252245.69</v>
      </c>
      <c r="H62" s="27">
        <v>252245.69</v>
      </c>
      <c r="J62" s="27">
        <v>0</v>
      </c>
      <c r="K62" s="25">
        <f t="shared" si="0"/>
        <v>0</v>
      </c>
    </row>
    <row r="63" spans="1:11" ht="15.95" customHeight="1" x14ac:dyDescent="0.2">
      <c r="A63" s="26">
        <v>1130102</v>
      </c>
      <c r="B63" s="369" t="s">
        <v>160</v>
      </c>
      <c r="C63" s="370"/>
      <c r="D63" s="370"/>
      <c r="E63" s="27">
        <v>1046598.36</v>
      </c>
      <c r="F63" s="27">
        <v>0</v>
      </c>
      <c r="H63" s="27">
        <v>0</v>
      </c>
      <c r="J63" s="27">
        <v>1046598.36</v>
      </c>
      <c r="K63" s="25">
        <f t="shared" si="0"/>
        <v>0</v>
      </c>
    </row>
    <row r="64" spans="1:11" ht="15.95" customHeight="1" x14ac:dyDescent="0.2">
      <c r="A64" s="26" t="s">
        <v>1442</v>
      </c>
      <c r="B64" s="369" t="s">
        <v>1443</v>
      </c>
      <c r="C64" s="370"/>
      <c r="D64" s="370"/>
      <c r="E64" s="27">
        <v>1046598.36</v>
      </c>
      <c r="F64" s="27">
        <v>0</v>
      </c>
      <c r="H64" s="27">
        <v>0</v>
      </c>
      <c r="J64" s="27">
        <v>1046598.36</v>
      </c>
      <c r="K64" s="25">
        <f t="shared" si="0"/>
        <v>0</v>
      </c>
    </row>
    <row r="65" spans="1:11" ht="15.95" customHeight="1" x14ac:dyDescent="0.2">
      <c r="A65" s="26">
        <v>1130103</v>
      </c>
      <c r="B65" s="369" t="s">
        <v>163</v>
      </c>
      <c r="C65" s="370"/>
      <c r="D65" s="370"/>
      <c r="E65" s="27">
        <v>210132.62</v>
      </c>
      <c r="F65" s="27">
        <v>0</v>
      </c>
      <c r="H65" s="27">
        <v>0</v>
      </c>
      <c r="J65" s="27">
        <v>210132.62</v>
      </c>
      <c r="K65" s="25">
        <f t="shared" si="0"/>
        <v>0</v>
      </c>
    </row>
    <row r="66" spans="1:11" ht="15.95" customHeight="1" x14ac:dyDescent="0.2">
      <c r="A66" s="26" t="s">
        <v>1444</v>
      </c>
      <c r="B66" s="369" t="s">
        <v>1445</v>
      </c>
      <c r="C66" s="370"/>
      <c r="D66" s="370"/>
      <c r="E66" s="27">
        <v>210132.62</v>
      </c>
      <c r="F66" s="27">
        <v>0</v>
      </c>
      <c r="H66" s="27">
        <v>0</v>
      </c>
      <c r="J66" s="27">
        <v>210132.62</v>
      </c>
      <c r="K66" s="25">
        <f t="shared" si="0"/>
        <v>0</v>
      </c>
    </row>
    <row r="67" spans="1:11" ht="15.95" customHeight="1" x14ac:dyDescent="0.2">
      <c r="A67" s="28">
        <v>114</v>
      </c>
      <c r="B67" s="371" t="s">
        <v>173</v>
      </c>
      <c r="C67" s="372"/>
      <c r="D67" s="372"/>
      <c r="E67" s="29">
        <v>103733.55</v>
      </c>
      <c r="F67" s="29">
        <v>53951.93</v>
      </c>
      <c r="G67" s="30"/>
      <c r="H67" s="29">
        <v>88595.88</v>
      </c>
      <c r="I67" s="30"/>
      <c r="J67" s="29">
        <v>69089.600000000006</v>
      </c>
      <c r="K67" s="31">
        <f t="shared" ref="K67:K130" si="1">J67-E67</f>
        <v>-34643.949999999997</v>
      </c>
    </row>
    <row r="68" spans="1:11" ht="15.95" customHeight="1" x14ac:dyDescent="0.2">
      <c r="A68" s="26">
        <v>11401</v>
      </c>
      <c r="B68" s="369" t="s">
        <v>174</v>
      </c>
      <c r="C68" s="370"/>
      <c r="D68" s="370"/>
      <c r="E68" s="27">
        <v>103733.55</v>
      </c>
      <c r="F68" s="27">
        <v>53951.93</v>
      </c>
      <c r="H68" s="27">
        <v>88595.88</v>
      </c>
      <c r="J68" s="27">
        <v>69089.600000000006</v>
      </c>
      <c r="K68" s="25">
        <f t="shared" si="1"/>
        <v>-34643.949999999997</v>
      </c>
    </row>
    <row r="69" spans="1:11" ht="15.95" customHeight="1" x14ac:dyDescent="0.2">
      <c r="A69" s="26">
        <v>1140101</v>
      </c>
      <c r="B69" s="369" t="s">
        <v>175</v>
      </c>
      <c r="C69" s="370"/>
      <c r="D69" s="370"/>
      <c r="E69" s="27">
        <v>38142.800000000003</v>
      </c>
      <c r="F69" s="27">
        <v>4377.6000000000004</v>
      </c>
      <c r="H69" s="27">
        <v>33127.800000000003</v>
      </c>
      <c r="J69" s="27">
        <v>9392.6</v>
      </c>
      <c r="K69" s="25">
        <f t="shared" si="1"/>
        <v>-28750.200000000004</v>
      </c>
    </row>
    <row r="70" spans="1:11" ht="15.95" customHeight="1" x14ac:dyDescent="0.2">
      <c r="A70" s="26" t="s">
        <v>176</v>
      </c>
      <c r="B70" s="369" t="s">
        <v>177</v>
      </c>
      <c r="C70" s="370"/>
      <c r="D70" s="370"/>
      <c r="E70" s="27">
        <v>31200</v>
      </c>
      <c r="F70" s="27">
        <v>0</v>
      </c>
      <c r="H70" s="27">
        <v>27600</v>
      </c>
      <c r="J70" s="27">
        <v>3600</v>
      </c>
      <c r="K70" s="25">
        <f t="shared" si="1"/>
        <v>-27600</v>
      </c>
    </row>
    <row r="71" spans="1:11" ht="15.95" customHeight="1" x14ac:dyDescent="0.2">
      <c r="A71" s="26" t="s">
        <v>1446</v>
      </c>
      <c r="B71" s="369" t="s">
        <v>1224</v>
      </c>
      <c r="C71" s="370"/>
      <c r="D71" s="370"/>
      <c r="E71" s="27">
        <v>267</v>
      </c>
      <c r="F71" s="27">
        <v>177.6</v>
      </c>
      <c r="H71" s="27">
        <v>322.2</v>
      </c>
      <c r="J71" s="27">
        <v>122.4</v>
      </c>
      <c r="K71" s="25">
        <f t="shared" si="1"/>
        <v>-144.6</v>
      </c>
    </row>
    <row r="72" spans="1:11" ht="15.95" customHeight="1" x14ac:dyDescent="0.2">
      <c r="A72" s="26" t="s">
        <v>178</v>
      </c>
      <c r="B72" s="369" t="s">
        <v>179</v>
      </c>
      <c r="C72" s="370"/>
      <c r="D72" s="370"/>
      <c r="E72" s="27">
        <v>6675.8</v>
      </c>
      <c r="F72" s="27">
        <v>4200</v>
      </c>
      <c r="H72" s="27">
        <v>5205.6000000000004</v>
      </c>
      <c r="J72" s="27">
        <v>5670.2</v>
      </c>
      <c r="K72" s="25">
        <f t="shared" si="1"/>
        <v>-1005.6000000000004</v>
      </c>
    </row>
    <row r="73" spans="1:11" ht="15.95" customHeight="1" x14ac:dyDescent="0.2">
      <c r="A73" s="26">
        <v>1140102</v>
      </c>
      <c r="B73" s="369" t="s">
        <v>180</v>
      </c>
      <c r="C73" s="370"/>
      <c r="D73" s="370"/>
      <c r="E73" s="27">
        <v>65590.75</v>
      </c>
      <c r="F73" s="27">
        <v>49574.33</v>
      </c>
      <c r="H73" s="27">
        <v>55468.08</v>
      </c>
      <c r="J73" s="27">
        <v>59697</v>
      </c>
      <c r="K73" s="25">
        <f t="shared" si="1"/>
        <v>-5893.75</v>
      </c>
    </row>
    <row r="74" spans="1:11" ht="15.95" customHeight="1" x14ac:dyDescent="0.2">
      <c r="A74" s="26" t="s">
        <v>181</v>
      </c>
      <c r="B74" s="369" t="s">
        <v>182</v>
      </c>
      <c r="C74" s="370"/>
      <c r="D74" s="370"/>
      <c r="E74" s="27">
        <v>43335.66</v>
      </c>
      <c r="F74" s="27">
        <v>21045.88</v>
      </c>
      <c r="H74" s="27">
        <v>25692.57</v>
      </c>
      <c r="J74" s="27">
        <v>38688.97</v>
      </c>
      <c r="K74" s="25">
        <f t="shared" si="1"/>
        <v>-4646.6900000000023</v>
      </c>
    </row>
    <row r="75" spans="1:11" ht="15.95" customHeight="1" x14ac:dyDescent="0.2">
      <c r="A75" s="26" t="s">
        <v>183</v>
      </c>
      <c r="B75" s="369" t="s">
        <v>184</v>
      </c>
      <c r="C75" s="370"/>
      <c r="D75" s="370"/>
      <c r="E75" s="27">
        <v>0</v>
      </c>
      <c r="F75" s="27">
        <v>5959.58</v>
      </c>
      <c r="H75" s="27">
        <v>5959.58</v>
      </c>
      <c r="J75" s="27">
        <v>0</v>
      </c>
      <c r="K75" s="25">
        <f t="shared" si="1"/>
        <v>0</v>
      </c>
    </row>
    <row r="76" spans="1:11" ht="15.95" customHeight="1" x14ac:dyDescent="0.2">
      <c r="A76" s="26" t="s">
        <v>185</v>
      </c>
      <c r="B76" s="369" t="s">
        <v>186</v>
      </c>
      <c r="C76" s="370"/>
      <c r="D76" s="370"/>
      <c r="E76" s="27">
        <v>238.5</v>
      </c>
      <c r="F76" s="27">
        <v>1410</v>
      </c>
      <c r="H76" s="27">
        <v>1496.5</v>
      </c>
      <c r="J76" s="27">
        <v>152</v>
      </c>
      <c r="K76" s="25">
        <f t="shared" si="1"/>
        <v>-86.5</v>
      </c>
    </row>
    <row r="77" spans="1:11" ht="15.95" customHeight="1" x14ac:dyDescent="0.2">
      <c r="A77" s="26" t="s">
        <v>187</v>
      </c>
      <c r="B77" s="369" t="s">
        <v>188</v>
      </c>
      <c r="C77" s="370"/>
      <c r="D77" s="370"/>
      <c r="E77" s="27">
        <v>280</v>
      </c>
      <c r="F77" s="27">
        <v>1704</v>
      </c>
      <c r="H77" s="27">
        <v>1837.44</v>
      </c>
      <c r="J77" s="27">
        <v>146.56</v>
      </c>
      <c r="K77" s="25">
        <f t="shared" si="1"/>
        <v>-133.44</v>
      </c>
    </row>
    <row r="78" spans="1:11" ht="15.95" customHeight="1" x14ac:dyDescent="0.2">
      <c r="A78" s="26" t="s">
        <v>189</v>
      </c>
      <c r="B78" s="369" t="s">
        <v>190</v>
      </c>
      <c r="C78" s="370"/>
      <c r="D78" s="370"/>
      <c r="E78" s="27">
        <v>7530.65</v>
      </c>
      <c r="F78" s="27">
        <v>10159.870000000001</v>
      </c>
      <c r="H78" s="27">
        <v>10496.62</v>
      </c>
      <c r="J78" s="27">
        <v>7193.9</v>
      </c>
      <c r="K78" s="25">
        <f t="shared" si="1"/>
        <v>-336.75</v>
      </c>
    </row>
    <row r="79" spans="1:11" ht="15.95" customHeight="1" x14ac:dyDescent="0.2">
      <c r="A79" s="26" t="s">
        <v>191</v>
      </c>
      <c r="B79" s="369" t="s">
        <v>192</v>
      </c>
      <c r="C79" s="370"/>
      <c r="D79" s="370"/>
      <c r="E79" s="27">
        <v>832.01</v>
      </c>
      <c r="F79" s="27">
        <v>55</v>
      </c>
      <c r="H79" s="27">
        <v>81.53</v>
      </c>
      <c r="J79" s="27">
        <v>805.48</v>
      </c>
      <c r="K79" s="25">
        <f t="shared" si="1"/>
        <v>-26.529999999999973</v>
      </c>
    </row>
    <row r="80" spans="1:11" ht="15.95" customHeight="1" x14ac:dyDescent="0.2">
      <c r="A80" s="26" t="s">
        <v>193</v>
      </c>
      <c r="B80" s="369" t="s">
        <v>194</v>
      </c>
      <c r="C80" s="370"/>
      <c r="D80" s="370"/>
      <c r="E80" s="27">
        <v>9259.65</v>
      </c>
      <c r="F80" s="27">
        <v>9240</v>
      </c>
      <c r="H80" s="27">
        <v>9903.84</v>
      </c>
      <c r="J80" s="27">
        <v>8595.81</v>
      </c>
      <c r="K80" s="25">
        <f t="shared" si="1"/>
        <v>-663.84000000000015</v>
      </c>
    </row>
    <row r="81" spans="1:11" ht="15.95" customHeight="1" x14ac:dyDescent="0.2">
      <c r="A81" s="26" t="s">
        <v>195</v>
      </c>
      <c r="B81" s="369" t="s">
        <v>196</v>
      </c>
      <c r="C81" s="370"/>
      <c r="D81" s="370"/>
      <c r="E81" s="27">
        <v>4114.28</v>
      </c>
      <c r="F81" s="27">
        <v>0</v>
      </c>
      <c r="H81" s="27">
        <v>0</v>
      </c>
      <c r="J81" s="27">
        <v>4114.28</v>
      </c>
      <c r="K81" s="25">
        <f t="shared" si="1"/>
        <v>0</v>
      </c>
    </row>
    <row r="82" spans="1:11" ht="15.95" customHeight="1" x14ac:dyDescent="0.2">
      <c r="A82" s="28">
        <v>117</v>
      </c>
      <c r="B82" s="371" t="s">
        <v>197</v>
      </c>
      <c r="C82" s="372"/>
      <c r="D82" s="372"/>
      <c r="E82" s="29">
        <v>222491.96</v>
      </c>
      <c r="F82" s="29">
        <v>28502.83</v>
      </c>
      <c r="G82" s="30"/>
      <c r="H82" s="29">
        <v>161627.64000000001</v>
      </c>
      <c r="I82" s="30"/>
      <c r="J82" s="29">
        <v>89367.15</v>
      </c>
      <c r="K82" s="31">
        <f t="shared" si="1"/>
        <v>-133124.81</v>
      </c>
    </row>
    <row r="83" spans="1:11" ht="15.95" customHeight="1" x14ac:dyDescent="0.2">
      <c r="A83" s="26">
        <v>11701</v>
      </c>
      <c r="B83" s="369" t="s">
        <v>197</v>
      </c>
      <c r="C83" s="370"/>
      <c r="D83" s="370"/>
      <c r="E83" s="27">
        <v>222491.96</v>
      </c>
      <c r="F83" s="27">
        <v>28502.83</v>
      </c>
      <c r="H83" s="27">
        <v>161627.64000000001</v>
      </c>
      <c r="J83" s="27">
        <v>89367.15</v>
      </c>
      <c r="K83" s="25">
        <f t="shared" si="1"/>
        <v>-133124.81</v>
      </c>
    </row>
    <row r="84" spans="1:11" ht="15.95" customHeight="1" x14ac:dyDescent="0.2">
      <c r="A84" s="26">
        <v>1170101</v>
      </c>
      <c r="B84" s="369" t="s">
        <v>198</v>
      </c>
      <c r="C84" s="370"/>
      <c r="D84" s="370"/>
      <c r="E84" s="27">
        <v>206087.82</v>
      </c>
      <c r="F84" s="27">
        <v>16011.87</v>
      </c>
      <c r="H84" s="27">
        <v>142994.14000000001</v>
      </c>
      <c r="J84" s="27">
        <v>79105.55</v>
      </c>
      <c r="K84" s="25">
        <f t="shared" si="1"/>
        <v>-126982.27</v>
      </c>
    </row>
    <row r="85" spans="1:11" ht="15.95" customHeight="1" x14ac:dyDescent="0.2">
      <c r="A85" s="26" t="s">
        <v>199</v>
      </c>
      <c r="B85" s="369" t="s">
        <v>200</v>
      </c>
      <c r="C85" s="370"/>
      <c r="D85" s="370"/>
      <c r="E85" s="27">
        <v>161070</v>
      </c>
      <c r="F85" s="27">
        <v>0</v>
      </c>
      <c r="H85" s="27">
        <v>96642</v>
      </c>
      <c r="J85" s="27">
        <v>64428</v>
      </c>
      <c r="K85" s="25">
        <f t="shared" si="1"/>
        <v>-96642</v>
      </c>
    </row>
    <row r="86" spans="1:11" ht="15.95" customHeight="1" x14ac:dyDescent="0.2">
      <c r="A86" s="26" t="s">
        <v>201</v>
      </c>
      <c r="B86" s="369" t="s">
        <v>202</v>
      </c>
      <c r="C86" s="370"/>
      <c r="D86" s="370"/>
      <c r="E86" s="27">
        <v>45017.82</v>
      </c>
      <c r="F86" s="27">
        <v>16011.87</v>
      </c>
      <c r="H86" s="27">
        <v>46352.14</v>
      </c>
      <c r="J86" s="27">
        <v>14677.55</v>
      </c>
      <c r="K86" s="25">
        <f t="shared" si="1"/>
        <v>-30340.27</v>
      </c>
    </row>
    <row r="87" spans="1:11" ht="15.95" customHeight="1" x14ac:dyDescent="0.2">
      <c r="A87" s="26">
        <v>1170102</v>
      </c>
      <c r="B87" s="369" t="s">
        <v>203</v>
      </c>
      <c r="C87" s="370"/>
      <c r="D87" s="370"/>
      <c r="E87" s="27">
        <v>16404.14</v>
      </c>
      <c r="F87" s="27">
        <v>440</v>
      </c>
      <c r="H87" s="27">
        <v>12608</v>
      </c>
      <c r="J87" s="27">
        <v>4236.1400000000003</v>
      </c>
      <c r="K87" s="25">
        <f t="shared" si="1"/>
        <v>-12168</v>
      </c>
    </row>
    <row r="88" spans="1:11" ht="15.95" customHeight="1" x14ac:dyDescent="0.2">
      <c r="A88" s="26" t="s">
        <v>1447</v>
      </c>
      <c r="B88" s="369" t="s">
        <v>1448</v>
      </c>
      <c r="C88" s="370"/>
      <c r="D88" s="370"/>
      <c r="E88" s="27">
        <v>339.5</v>
      </c>
      <c r="F88" s="27">
        <v>440</v>
      </c>
      <c r="H88" s="27">
        <v>559.52</v>
      </c>
      <c r="J88" s="27">
        <v>219.98</v>
      </c>
      <c r="K88" s="25">
        <f t="shared" si="1"/>
        <v>-119.52000000000001</v>
      </c>
    </row>
    <row r="89" spans="1:11" ht="15.95" customHeight="1" x14ac:dyDescent="0.2">
      <c r="A89" s="26" t="s">
        <v>204</v>
      </c>
      <c r="B89" s="369" t="s">
        <v>205</v>
      </c>
      <c r="C89" s="370"/>
      <c r="D89" s="370"/>
      <c r="E89" s="27">
        <v>16064.64</v>
      </c>
      <c r="F89" s="27">
        <v>0</v>
      </c>
      <c r="H89" s="27">
        <v>12048.48</v>
      </c>
      <c r="J89" s="27">
        <v>4016.16</v>
      </c>
      <c r="K89" s="25">
        <f t="shared" si="1"/>
        <v>-12048.48</v>
      </c>
    </row>
    <row r="90" spans="1:11" ht="15.95" customHeight="1" x14ac:dyDescent="0.2">
      <c r="A90" s="26">
        <v>1170103</v>
      </c>
      <c r="B90" s="369" t="s">
        <v>206</v>
      </c>
      <c r="C90" s="370"/>
      <c r="D90" s="370"/>
      <c r="E90" s="27">
        <v>0</v>
      </c>
      <c r="F90" s="27">
        <v>12050.96</v>
      </c>
      <c r="H90" s="27">
        <v>6025.5</v>
      </c>
      <c r="J90" s="27">
        <v>6025.46</v>
      </c>
      <c r="K90" s="25">
        <f t="shared" si="1"/>
        <v>6025.46</v>
      </c>
    </row>
    <row r="91" spans="1:11" ht="15.95" customHeight="1" x14ac:dyDescent="0.2">
      <c r="A91" s="26" t="s">
        <v>207</v>
      </c>
      <c r="B91" s="369" t="s">
        <v>208</v>
      </c>
      <c r="C91" s="370"/>
      <c r="D91" s="370"/>
      <c r="E91" s="27">
        <v>0</v>
      </c>
      <c r="F91" s="27">
        <v>12050.96</v>
      </c>
      <c r="H91" s="27">
        <v>6025.5</v>
      </c>
      <c r="J91" s="27">
        <v>6025.46</v>
      </c>
      <c r="K91" s="25">
        <f t="shared" si="1"/>
        <v>6025.46</v>
      </c>
    </row>
    <row r="92" spans="1:11" ht="15.95" customHeight="1" x14ac:dyDescent="0.2">
      <c r="A92" s="26">
        <v>12</v>
      </c>
      <c r="B92" s="369" t="s">
        <v>209</v>
      </c>
      <c r="C92" s="370"/>
      <c r="D92" s="370"/>
      <c r="E92" s="27">
        <v>325188005.11000001</v>
      </c>
      <c r="F92" s="27">
        <v>36277354.539999999</v>
      </c>
      <c r="H92" s="27">
        <v>50402661.119999997</v>
      </c>
      <c r="J92" s="27">
        <v>311062698.52999997</v>
      </c>
      <c r="K92" s="25">
        <f t="shared" si="1"/>
        <v>-14125306.580000043</v>
      </c>
    </row>
    <row r="93" spans="1:11" ht="15.95" customHeight="1" x14ac:dyDescent="0.2">
      <c r="A93" s="26">
        <v>121</v>
      </c>
      <c r="B93" s="369" t="s">
        <v>210</v>
      </c>
      <c r="C93" s="370"/>
      <c r="D93" s="370"/>
      <c r="E93" s="27">
        <v>817373.97</v>
      </c>
      <c r="F93" s="27">
        <v>108504.25</v>
      </c>
      <c r="H93" s="27">
        <v>255376.8</v>
      </c>
      <c r="J93" s="27">
        <v>670501.42000000004</v>
      </c>
      <c r="K93" s="25">
        <f t="shared" si="1"/>
        <v>-146872.54999999993</v>
      </c>
    </row>
    <row r="94" spans="1:11" ht="15.95" customHeight="1" x14ac:dyDescent="0.2">
      <c r="A94" s="28">
        <v>12101</v>
      </c>
      <c r="B94" s="371" t="s">
        <v>211</v>
      </c>
      <c r="C94" s="372"/>
      <c r="D94" s="372"/>
      <c r="E94" s="29">
        <v>739127.8</v>
      </c>
      <c r="F94" s="29">
        <v>108504.25</v>
      </c>
      <c r="G94" s="30"/>
      <c r="H94" s="29">
        <v>250518.1</v>
      </c>
      <c r="I94" s="30"/>
      <c r="J94" s="29">
        <v>597113.94999999995</v>
      </c>
      <c r="K94" s="31">
        <f t="shared" si="1"/>
        <v>-142013.85000000009</v>
      </c>
    </row>
    <row r="95" spans="1:11" ht="15.95" customHeight="1" x14ac:dyDescent="0.2">
      <c r="A95" s="26">
        <v>1210101</v>
      </c>
      <c r="B95" s="369" t="s">
        <v>212</v>
      </c>
      <c r="C95" s="370"/>
      <c r="D95" s="370"/>
      <c r="E95" s="27">
        <v>337890.82</v>
      </c>
      <c r="F95" s="27">
        <v>46450.29</v>
      </c>
      <c r="H95" s="27">
        <v>84235.99</v>
      </c>
      <c r="J95" s="27">
        <v>300105.12</v>
      </c>
      <c r="K95" s="25">
        <f t="shared" si="1"/>
        <v>-37785.700000000012</v>
      </c>
    </row>
    <row r="96" spans="1:11" ht="15.95" customHeight="1" x14ac:dyDescent="0.2">
      <c r="A96" s="26" t="s">
        <v>213</v>
      </c>
      <c r="B96" s="369" t="s">
        <v>214</v>
      </c>
      <c r="C96" s="370"/>
      <c r="D96" s="370"/>
      <c r="E96" s="27">
        <v>16601.04</v>
      </c>
      <c r="F96" s="27">
        <v>0</v>
      </c>
      <c r="H96" s="27">
        <v>0</v>
      </c>
      <c r="J96" s="27">
        <v>16601.04</v>
      </c>
      <c r="K96" s="25">
        <f t="shared" si="1"/>
        <v>0</v>
      </c>
    </row>
    <row r="97" spans="1:11" ht="15.95" customHeight="1" x14ac:dyDescent="0.2">
      <c r="A97" s="26" t="s">
        <v>1449</v>
      </c>
      <c r="B97" s="369" t="s">
        <v>1450</v>
      </c>
      <c r="C97" s="370"/>
      <c r="D97" s="370"/>
      <c r="E97" s="27">
        <v>5889.5</v>
      </c>
      <c r="F97" s="27">
        <v>0</v>
      </c>
      <c r="H97" s="27">
        <v>5889.5</v>
      </c>
      <c r="J97" s="27">
        <v>0</v>
      </c>
      <c r="K97" s="25">
        <f t="shared" si="1"/>
        <v>-5889.5</v>
      </c>
    </row>
    <row r="98" spans="1:11" ht="15.95" customHeight="1" x14ac:dyDescent="0.2">
      <c r="A98" s="26" t="s">
        <v>1451</v>
      </c>
      <c r="B98" s="369" t="s">
        <v>1452</v>
      </c>
      <c r="C98" s="370"/>
      <c r="D98" s="370"/>
      <c r="E98" s="27">
        <v>6290</v>
      </c>
      <c r="F98" s="27">
        <v>0</v>
      </c>
      <c r="H98" s="27">
        <v>6290</v>
      </c>
      <c r="J98" s="27">
        <v>0</v>
      </c>
      <c r="K98" s="25">
        <f t="shared" si="1"/>
        <v>-6290</v>
      </c>
    </row>
    <row r="99" spans="1:11" ht="15.95" customHeight="1" x14ac:dyDescent="0.2">
      <c r="A99" s="26" t="s">
        <v>1453</v>
      </c>
      <c r="B99" s="369" t="s">
        <v>1454</v>
      </c>
      <c r="C99" s="370"/>
      <c r="D99" s="370"/>
      <c r="E99" s="27">
        <v>6598.21</v>
      </c>
      <c r="F99" s="27">
        <v>0</v>
      </c>
      <c r="H99" s="27">
        <v>6598.21</v>
      </c>
      <c r="J99" s="27">
        <v>0</v>
      </c>
      <c r="K99" s="25">
        <f t="shared" si="1"/>
        <v>-6598.21</v>
      </c>
    </row>
    <row r="100" spans="1:11" ht="15.95" customHeight="1" x14ac:dyDescent="0.2">
      <c r="A100" s="26" t="s">
        <v>1455</v>
      </c>
      <c r="B100" s="369" t="s">
        <v>1456</v>
      </c>
      <c r="C100" s="370"/>
      <c r="D100" s="370"/>
      <c r="E100" s="27">
        <v>6598.21</v>
      </c>
      <c r="F100" s="27">
        <v>0</v>
      </c>
      <c r="H100" s="27">
        <v>0</v>
      </c>
      <c r="J100" s="27">
        <v>6598.21</v>
      </c>
      <c r="K100" s="25">
        <f t="shared" si="1"/>
        <v>0</v>
      </c>
    </row>
    <row r="101" spans="1:11" ht="15.95" customHeight="1" x14ac:dyDescent="0.2">
      <c r="A101" s="26" t="s">
        <v>215</v>
      </c>
      <c r="B101" s="369" t="s">
        <v>216</v>
      </c>
      <c r="C101" s="370"/>
      <c r="D101" s="370"/>
      <c r="E101" s="27">
        <v>8183.06</v>
      </c>
      <c r="F101" s="27">
        <v>0</v>
      </c>
      <c r="H101" s="27">
        <v>0</v>
      </c>
      <c r="J101" s="27">
        <v>8183.06</v>
      </c>
      <c r="K101" s="25">
        <f t="shared" si="1"/>
        <v>0</v>
      </c>
    </row>
    <row r="102" spans="1:11" ht="15.95" customHeight="1" x14ac:dyDescent="0.2">
      <c r="A102" s="26" t="s">
        <v>217</v>
      </c>
      <c r="B102" s="369" t="s">
        <v>218</v>
      </c>
      <c r="C102" s="370"/>
      <c r="D102" s="370"/>
      <c r="E102" s="27">
        <v>27985.95</v>
      </c>
      <c r="F102" s="27">
        <v>9513.16</v>
      </c>
      <c r="H102" s="27">
        <v>0</v>
      </c>
      <c r="J102" s="27">
        <v>37499.11</v>
      </c>
      <c r="K102" s="25">
        <f t="shared" si="1"/>
        <v>9513.16</v>
      </c>
    </row>
    <row r="103" spans="1:11" ht="15.95" customHeight="1" x14ac:dyDescent="0.2">
      <c r="A103" s="26" t="s">
        <v>1457</v>
      </c>
      <c r="B103" s="369" t="s">
        <v>1458</v>
      </c>
      <c r="C103" s="370"/>
      <c r="D103" s="370"/>
      <c r="E103" s="27">
        <v>8959.6299999999992</v>
      </c>
      <c r="F103" s="27">
        <v>0</v>
      </c>
      <c r="H103" s="27">
        <v>0</v>
      </c>
      <c r="J103" s="27">
        <v>8959.6299999999992</v>
      </c>
      <c r="K103" s="25">
        <f t="shared" si="1"/>
        <v>0</v>
      </c>
    </row>
    <row r="104" spans="1:11" ht="15.95" customHeight="1" x14ac:dyDescent="0.2">
      <c r="A104" s="26" t="s">
        <v>1459</v>
      </c>
      <c r="B104" s="369" t="s">
        <v>1460</v>
      </c>
      <c r="C104" s="370"/>
      <c r="D104" s="370"/>
      <c r="E104" s="27">
        <v>9189</v>
      </c>
      <c r="F104" s="27">
        <v>0</v>
      </c>
      <c r="H104" s="27">
        <v>9189</v>
      </c>
      <c r="J104" s="27">
        <v>0</v>
      </c>
      <c r="K104" s="25">
        <f t="shared" si="1"/>
        <v>-9189</v>
      </c>
    </row>
    <row r="105" spans="1:11" ht="15.95" customHeight="1" x14ac:dyDescent="0.2">
      <c r="A105" s="26" t="s">
        <v>219</v>
      </c>
      <c r="B105" s="369" t="s">
        <v>220</v>
      </c>
      <c r="C105" s="370"/>
      <c r="D105" s="370"/>
      <c r="E105" s="27">
        <v>9189</v>
      </c>
      <c r="F105" s="27">
        <v>21152.45</v>
      </c>
      <c r="H105" s="27">
        <v>0</v>
      </c>
      <c r="J105" s="27">
        <v>30341.45</v>
      </c>
      <c r="K105" s="25">
        <f t="shared" si="1"/>
        <v>21152.45</v>
      </c>
    </row>
    <row r="106" spans="1:11" ht="15.95" customHeight="1" x14ac:dyDescent="0.2">
      <c r="A106" s="26" t="s">
        <v>221</v>
      </c>
      <c r="B106" s="369" t="s">
        <v>222</v>
      </c>
      <c r="C106" s="370"/>
      <c r="D106" s="370"/>
      <c r="E106" s="27">
        <v>28215.32</v>
      </c>
      <c r="F106" s="27">
        <v>5784.68</v>
      </c>
      <c r="H106" s="27">
        <v>0</v>
      </c>
      <c r="J106" s="27">
        <v>34000</v>
      </c>
      <c r="K106" s="25">
        <f t="shared" si="1"/>
        <v>5784.68</v>
      </c>
    </row>
    <row r="107" spans="1:11" ht="15.95" customHeight="1" x14ac:dyDescent="0.2">
      <c r="A107" s="26" t="s">
        <v>223</v>
      </c>
      <c r="B107" s="369" t="s">
        <v>224</v>
      </c>
      <c r="C107" s="370"/>
      <c r="D107" s="370"/>
      <c r="E107" s="27">
        <v>30000</v>
      </c>
      <c r="F107" s="27">
        <v>0</v>
      </c>
      <c r="H107" s="27">
        <v>0</v>
      </c>
      <c r="J107" s="27">
        <v>30000</v>
      </c>
      <c r="K107" s="25">
        <f t="shared" si="1"/>
        <v>0</v>
      </c>
    </row>
    <row r="108" spans="1:11" ht="15.95" customHeight="1" x14ac:dyDescent="0.2">
      <c r="A108" s="26" t="s">
        <v>225</v>
      </c>
      <c r="B108" s="369" t="s">
        <v>226</v>
      </c>
      <c r="C108" s="370"/>
      <c r="D108" s="370"/>
      <c r="E108" s="27">
        <v>9189</v>
      </c>
      <c r="F108" s="27">
        <v>0</v>
      </c>
      <c r="H108" s="27">
        <v>0</v>
      </c>
      <c r="J108" s="27">
        <v>9189</v>
      </c>
      <c r="K108" s="25">
        <f t="shared" si="1"/>
        <v>0</v>
      </c>
    </row>
    <row r="109" spans="1:11" ht="27.95" customHeight="1" x14ac:dyDescent="0.2">
      <c r="A109" s="26" t="s">
        <v>227</v>
      </c>
      <c r="B109" s="369" t="s">
        <v>228</v>
      </c>
      <c r="C109" s="370"/>
      <c r="D109" s="370"/>
      <c r="E109" s="27">
        <v>9189</v>
      </c>
      <c r="F109" s="27">
        <v>0</v>
      </c>
      <c r="H109" s="27">
        <v>0</v>
      </c>
      <c r="J109" s="27">
        <v>9189</v>
      </c>
      <c r="K109" s="25">
        <f t="shared" si="1"/>
        <v>0</v>
      </c>
    </row>
    <row r="110" spans="1:11" ht="15.95" customHeight="1" x14ac:dyDescent="0.2">
      <c r="A110" s="26" t="s">
        <v>229</v>
      </c>
      <c r="B110" s="369" t="s">
        <v>230</v>
      </c>
      <c r="C110" s="370"/>
      <c r="D110" s="370"/>
      <c r="E110" s="27">
        <v>28215.32</v>
      </c>
      <c r="F110" s="27">
        <v>9513.16</v>
      </c>
      <c r="H110" s="27">
        <v>0</v>
      </c>
      <c r="J110" s="27">
        <v>37728.480000000003</v>
      </c>
      <c r="K110" s="25">
        <f t="shared" si="1"/>
        <v>9513.1600000000035</v>
      </c>
    </row>
    <row r="111" spans="1:11" ht="15.95" customHeight="1" x14ac:dyDescent="0.2">
      <c r="A111" s="26" t="s">
        <v>231</v>
      </c>
      <c r="B111" s="369" t="s">
        <v>232</v>
      </c>
      <c r="C111" s="370"/>
      <c r="D111" s="370"/>
      <c r="E111" s="27">
        <v>6000</v>
      </c>
      <c r="F111" s="27">
        <v>0</v>
      </c>
      <c r="H111" s="27">
        <v>0</v>
      </c>
      <c r="J111" s="27">
        <v>6000</v>
      </c>
      <c r="K111" s="25">
        <f t="shared" si="1"/>
        <v>0</v>
      </c>
    </row>
    <row r="112" spans="1:11" ht="15.95" customHeight="1" x14ac:dyDescent="0.2">
      <c r="A112" s="26" t="s">
        <v>233</v>
      </c>
      <c r="B112" s="369" t="s">
        <v>234</v>
      </c>
      <c r="C112" s="370"/>
      <c r="D112" s="370"/>
      <c r="E112" s="27">
        <v>16175.6</v>
      </c>
      <c r="F112" s="27">
        <v>0</v>
      </c>
      <c r="H112" s="27">
        <v>0</v>
      </c>
      <c r="J112" s="27">
        <v>16175.6</v>
      </c>
      <c r="K112" s="25">
        <f t="shared" si="1"/>
        <v>0</v>
      </c>
    </row>
    <row r="113" spans="1:11" ht="15.95" customHeight="1" x14ac:dyDescent="0.2">
      <c r="A113" s="26" t="s">
        <v>235</v>
      </c>
      <c r="B113" s="369" t="s">
        <v>236</v>
      </c>
      <c r="C113" s="370"/>
      <c r="D113" s="370"/>
      <c r="E113" s="27">
        <v>9189</v>
      </c>
      <c r="F113" s="27">
        <v>0</v>
      </c>
      <c r="H113" s="27">
        <v>0</v>
      </c>
      <c r="J113" s="27">
        <v>9189</v>
      </c>
      <c r="K113" s="25">
        <f t="shared" si="1"/>
        <v>0</v>
      </c>
    </row>
    <row r="114" spans="1:11" ht="15.95" customHeight="1" x14ac:dyDescent="0.2">
      <c r="A114" s="26" t="s">
        <v>237</v>
      </c>
      <c r="B114" s="369" t="s">
        <v>238</v>
      </c>
      <c r="C114" s="370"/>
      <c r="D114" s="370"/>
      <c r="E114" s="27">
        <v>9189</v>
      </c>
      <c r="F114" s="27">
        <v>0</v>
      </c>
      <c r="H114" s="27">
        <v>0</v>
      </c>
      <c r="J114" s="27">
        <v>9189</v>
      </c>
      <c r="K114" s="25">
        <f t="shared" si="1"/>
        <v>0</v>
      </c>
    </row>
    <row r="115" spans="1:11" ht="15.95" customHeight="1" x14ac:dyDescent="0.2">
      <c r="A115" s="26" t="s">
        <v>239</v>
      </c>
      <c r="B115" s="369" t="s">
        <v>240</v>
      </c>
      <c r="C115" s="370"/>
      <c r="D115" s="370"/>
      <c r="E115" s="27">
        <v>9513.16</v>
      </c>
      <c r="F115" s="27">
        <v>486.84</v>
      </c>
      <c r="H115" s="27">
        <v>0</v>
      </c>
      <c r="J115" s="27">
        <v>10000</v>
      </c>
      <c r="K115" s="25">
        <f t="shared" si="1"/>
        <v>486.84000000000015</v>
      </c>
    </row>
    <row r="116" spans="1:11" ht="15.95" customHeight="1" x14ac:dyDescent="0.2">
      <c r="A116" s="26" t="s">
        <v>241</v>
      </c>
      <c r="B116" s="369" t="s">
        <v>242</v>
      </c>
      <c r="C116" s="370"/>
      <c r="D116" s="370"/>
      <c r="E116" s="27">
        <v>2236.2199999999998</v>
      </c>
      <c r="F116" s="27">
        <v>0</v>
      </c>
      <c r="H116" s="27">
        <v>0</v>
      </c>
      <c r="J116" s="27">
        <v>2236.2199999999998</v>
      </c>
      <c r="K116" s="25">
        <f t="shared" si="1"/>
        <v>0</v>
      </c>
    </row>
    <row r="117" spans="1:11" ht="15.95" customHeight="1" x14ac:dyDescent="0.2">
      <c r="A117" s="26" t="s">
        <v>245</v>
      </c>
      <c r="B117" s="369" t="s">
        <v>246</v>
      </c>
      <c r="C117" s="370"/>
      <c r="D117" s="370"/>
      <c r="E117" s="27">
        <v>9513.16</v>
      </c>
      <c r="F117" s="27">
        <v>0</v>
      </c>
      <c r="H117" s="27">
        <v>0</v>
      </c>
      <c r="J117" s="27">
        <v>9513.16</v>
      </c>
      <c r="K117" s="25">
        <f t="shared" si="1"/>
        <v>0</v>
      </c>
    </row>
    <row r="118" spans="1:11" ht="15.95" customHeight="1" x14ac:dyDescent="0.2">
      <c r="A118" s="26" t="s">
        <v>247</v>
      </c>
      <c r="B118" s="369" t="s">
        <v>248</v>
      </c>
      <c r="C118" s="370"/>
      <c r="D118" s="370"/>
      <c r="E118" s="27">
        <v>9513.16</v>
      </c>
      <c r="F118" s="27">
        <v>0</v>
      </c>
      <c r="H118" s="27">
        <v>0</v>
      </c>
      <c r="J118" s="27">
        <v>9513.16</v>
      </c>
      <c r="K118" s="25">
        <f t="shared" si="1"/>
        <v>0</v>
      </c>
    </row>
    <row r="119" spans="1:11" ht="15.95" customHeight="1" x14ac:dyDescent="0.2">
      <c r="A119" s="26" t="s">
        <v>1593</v>
      </c>
      <c r="B119" s="369" t="s">
        <v>263</v>
      </c>
      <c r="C119" s="370"/>
      <c r="D119" s="370"/>
      <c r="E119" s="27">
        <v>56269.279999999999</v>
      </c>
      <c r="F119" s="27">
        <v>0</v>
      </c>
      <c r="H119" s="27">
        <v>56269.279999999999</v>
      </c>
      <c r="J119" s="27">
        <v>0</v>
      </c>
      <c r="K119" s="25">
        <f t="shared" si="1"/>
        <v>-56269.279999999999</v>
      </c>
    </row>
    <row r="120" spans="1:11" ht="15.95" customHeight="1" x14ac:dyDescent="0.2">
      <c r="A120" s="26">
        <v>1210102</v>
      </c>
      <c r="B120" s="369" t="s">
        <v>253</v>
      </c>
      <c r="C120" s="370"/>
      <c r="D120" s="370"/>
      <c r="E120" s="27">
        <v>385082.01</v>
      </c>
      <c r="F120" s="27">
        <v>62053.96</v>
      </c>
      <c r="H120" s="27">
        <v>156552.14000000001</v>
      </c>
      <c r="J120" s="27">
        <v>290583.83</v>
      </c>
      <c r="K120" s="25">
        <f t="shared" si="1"/>
        <v>-94498.18</v>
      </c>
    </row>
    <row r="121" spans="1:11" ht="15.95" customHeight="1" x14ac:dyDescent="0.2">
      <c r="A121" s="26" t="s">
        <v>254</v>
      </c>
      <c r="B121" s="369" t="s">
        <v>255</v>
      </c>
      <c r="C121" s="370"/>
      <c r="D121" s="370"/>
      <c r="E121" s="27">
        <v>83470.55</v>
      </c>
      <c r="F121" s="27">
        <v>0</v>
      </c>
      <c r="H121" s="27">
        <v>0</v>
      </c>
      <c r="J121" s="27">
        <v>83470.55</v>
      </c>
      <c r="K121" s="25">
        <f t="shared" si="1"/>
        <v>0</v>
      </c>
    </row>
    <row r="122" spans="1:11" ht="15.95" customHeight="1" x14ac:dyDescent="0.2">
      <c r="A122" s="26" t="s">
        <v>1461</v>
      </c>
      <c r="B122" s="369" t="s">
        <v>1462</v>
      </c>
      <c r="C122" s="370"/>
      <c r="D122" s="370"/>
      <c r="E122" s="27">
        <v>85454.88</v>
      </c>
      <c r="F122" s="27">
        <v>0</v>
      </c>
      <c r="H122" s="27">
        <v>85454.88</v>
      </c>
      <c r="J122" s="27">
        <v>0</v>
      </c>
      <c r="K122" s="25">
        <f t="shared" si="1"/>
        <v>-85454.88</v>
      </c>
    </row>
    <row r="123" spans="1:11" ht="15.95" customHeight="1" x14ac:dyDescent="0.2">
      <c r="A123" s="26" t="s">
        <v>256</v>
      </c>
      <c r="B123" s="369" t="s">
        <v>257</v>
      </c>
      <c r="C123" s="370"/>
      <c r="D123" s="370"/>
      <c r="E123" s="27">
        <v>56164.26</v>
      </c>
      <c r="F123" s="27">
        <v>0</v>
      </c>
      <c r="H123" s="27">
        <v>0</v>
      </c>
      <c r="J123" s="27">
        <v>56164.26</v>
      </c>
      <c r="K123" s="25">
        <f t="shared" si="1"/>
        <v>0</v>
      </c>
    </row>
    <row r="124" spans="1:11" ht="15.95" customHeight="1" x14ac:dyDescent="0.2">
      <c r="A124" s="26" t="s">
        <v>1463</v>
      </c>
      <c r="B124" s="369" t="s">
        <v>1464</v>
      </c>
      <c r="C124" s="370"/>
      <c r="D124" s="370"/>
      <c r="E124" s="27">
        <v>7376.34</v>
      </c>
      <c r="F124" s="27">
        <v>0</v>
      </c>
      <c r="H124" s="27">
        <v>7376.34</v>
      </c>
      <c r="J124" s="27">
        <v>0</v>
      </c>
      <c r="K124" s="25">
        <f t="shared" si="1"/>
        <v>-7376.34</v>
      </c>
    </row>
    <row r="125" spans="1:11" ht="15.95" customHeight="1" x14ac:dyDescent="0.2">
      <c r="A125" s="26" t="s">
        <v>1465</v>
      </c>
      <c r="B125" s="369" t="s">
        <v>1466</v>
      </c>
      <c r="C125" s="370"/>
      <c r="D125" s="370"/>
      <c r="E125" s="27">
        <v>86201.25</v>
      </c>
      <c r="F125" s="27">
        <v>0</v>
      </c>
      <c r="H125" s="27">
        <v>0</v>
      </c>
      <c r="J125" s="27">
        <v>86201.25</v>
      </c>
      <c r="K125" s="25">
        <f t="shared" si="1"/>
        <v>0</v>
      </c>
    </row>
    <row r="126" spans="1:11" ht="15.95" customHeight="1" x14ac:dyDescent="0.2">
      <c r="A126" s="26" t="s">
        <v>1467</v>
      </c>
      <c r="B126" s="369" t="s">
        <v>1468</v>
      </c>
      <c r="C126" s="370"/>
      <c r="D126" s="370"/>
      <c r="E126" s="27">
        <v>19561.36</v>
      </c>
      <c r="F126" s="27">
        <v>0</v>
      </c>
      <c r="H126" s="27">
        <v>19561.36</v>
      </c>
      <c r="J126" s="27">
        <v>0</v>
      </c>
      <c r="K126" s="25">
        <f t="shared" si="1"/>
        <v>-19561.36</v>
      </c>
    </row>
    <row r="127" spans="1:11" ht="15.95" customHeight="1" x14ac:dyDescent="0.2">
      <c r="A127" s="26" t="s">
        <v>258</v>
      </c>
      <c r="B127" s="369" t="s">
        <v>259</v>
      </c>
      <c r="C127" s="370"/>
      <c r="D127" s="370"/>
      <c r="E127" s="27">
        <v>5948.57</v>
      </c>
      <c r="F127" s="27">
        <v>0</v>
      </c>
      <c r="H127" s="27">
        <v>0</v>
      </c>
      <c r="J127" s="27">
        <v>5948.57</v>
      </c>
      <c r="K127" s="25">
        <f t="shared" si="1"/>
        <v>0</v>
      </c>
    </row>
    <row r="128" spans="1:11" ht="15.95" customHeight="1" x14ac:dyDescent="0.2">
      <c r="A128" s="26" t="s">
        <v>260</v>
      </c>
      <c r="B128" s="369" t="s">
        <v>261</v>
      </c>
      <c r="C128" s="370"/>
      <c r="D128" s="370"/>
      <c r="E128" s="27">
        <v>2529.92</v>
      </c>
      <c r="F128" s="27">
        <v>0</v>
      </c>
      <c r="H128" s="27">
        <v>0</v>
      </c>
      <c r="J128" s="27">
        <v>2529.92</v>
      </c>
      <c r="K128" s="25">
        <f t="shared" si="1"/>
        <v>0</v>
      </c>
    </row>
    <row r="129" spans="1:11" ht="15.95" customHeight="1" x14ac:dyDescent="0.2">
      <c r="A129" s="26" t="s">
        <v>1594</v>
      </c>
      <c r="B129" s="369" t="s">
        <v>222</v>
      </c>
      <c r="C129" s="370"/>
      <c r="D129" s="370"/>
      <c r="E129" s="27">
        <v>0</v>
      </c>
      <c r="F129" s="27">
        <v>5784.68</v>
      </c>
      <c r="H129" s="27">
        <v>5784.68</v>
      </c>
      <c r="J129" s="27">
        <v>0</v>
      </c>
      <c r="K129" s="25">
        <f t="shared" si="1"/>
        <v>0</v>
      </c>
    </row>
    <row r="130" spans="1:11" ht="15.95" customHeight="1" x14ac:dyDescent="0.2">
      <c r="A130" s="26" t="s">
        <v>1469</v>
      </c>
      <c r="B130" s="369" t="s">
        <v>1470</v>
      </c>
      <c r="C130" s="370"/>
      <c r="D130" s="370"/>
      <c r="E130" s="27">
        <v>38374.879999999997</v>
      </c>
      <c r="F130" s="27">
        <v>0</v>
      </c>
      <c r="H130" s="27">
        <v>38374.879999999997</v>
      </c>
      <c r="J130" s="27">
        <v>0</v>
      </c>
      <c r="K130" s="25">
        <f t="shared" si="1"/>
        <v>-38374.879999999997</v>
      </c>
    </row>
    <row r="131" spans="1:11" ht="15.95" customHeight="1" x14ac:dyDescent="0.2">
      <c r="A131" s="26" t="s">
        <v>262</v>
      </c>
      <c r="B131" s="369" t="s">
        <v>263</v>
      </c>
      <c r="C131" s="370"/>
      <c r="D131" s="370"/>
      <c r="E131" s="27">
        <v>0</v>
      </c>
      <c r="F131" s="27">
        <v>56269.279999999999</v>
      </c>
      <c r="H131" s="27">
        <v>0</v>
      </c>
      <c r="J131" s="27">
        <v>56269.279999999999</v>
      </c>
      <c r="K131" s="25">
        <f t="shared" ref="K131:K194" si="2">J131-E131</f>
        <v>56269.279999999999</v>
      </c>
    </row>
    <row r="132" spans="1:11" ht="15.95" customHeight="1" x14ac:dyDescent="0.2">
      <c r="A132" s="26">
        <v>1210103</v>
      </c>
      <c r="B132" s="369" t="s">
        <v>1471</v>
      </c>
      <c r="C132" s="370"/>
      <c r="D132" s="370"/>
      <c r="E132" s="27">
        <v>9729.9699999999993</v>
      </c>
      <c r="F132" s="27">
        <v>0</v>
      </c>
      <c r="H132" s="27">
        <v>9729.9699999999993</v>
      </c>
      <c r="J132" s="27">
        <v>0</v>
      </c>
      <c r="K132" s="25">
        <f t="shared" si="2"/>
        <v>-9729.9699999999993</v>
      </c>
    </row>
    <row r="133" spans="1:11" ht="15.95" customHeight="1" x14ac:dyDescent="0.2">
      <c r="A133" s="26" t="s">
        <v>1472</v>
      </c>
      <c r="B133" s="369" t="s">
        <v>1473</v>
      </c>
      <c r="C133" s="370"/>
      <c r="D133" s="370"/>
      <c r="E133" s="27">
        <v>9729.9699999999993</v>
      </c>
      <c r="F133" s="27">
        <v>0</v>
      </c>
      <c r="H133" s="27">
        <v>9729.9699999999993</v>
      </c>
      <c r="J133" s="27">
        <v>0</v>
      </c>
      <c r="K133" s="25">
        <f t="shared" si="2"/>
        <v>-9729.9699999999993</v>
      </c>
    </row>
    <row r="134" spans="1:11" ht="15.95" customHeight="1" x14ac:dyDescent="0.2">
      <c r="A134" s="26">
        <v>1210106</v>
      </c>
      <c r="B134" s="369" t="s">
        <v>264</v>
      </c>
      <c r="C134" s="370"/>
      <c r="D134" s="370"/>
      <c r="E134" s="27">
        <v>6425</v>
      </c>
      <c r="F134" s="27">
        <v>0</v>
      </c>
      <c r="H134" s="27">
        <v>0</v>
      </c>
      <c r="J134" s="27">
        <v>6425</v>
      </c>
      <c r="K134" s="25">
        <f t="shared" si="2"/>
        <v>0</v>
      </c>
    </row>
    <row r="135" spans="1:11" ht="15.95" customHeight="1" x14ac:dyDescent="0.2">
      <c r="A135" s="26" t="s">
        <v>1474</v>
      </c>
      <c r="B135" s="369" t="s">
        <v>1475</v>
      </c>
      <c r="C135" s="370"/>
      <c r="D135" s="370"/>
      <c r="E135" s="27">
        <v>6425</v>
      </c>
      <c r="F135" s="27">
        <v>0</v>
      </c>
      <c r="H135" s="27">
        <v>0</v>
      </c>
      <c r="J135" s="27">
        <v>6425</v>
      </c>
      <c r="K135" s="25">
        <f t="shared" si="2"/>
        <v>0</v>
      </c>
    </row>
    <row r="136" spans="1:11" ht="15.95" customHeight="1" x14ac:dyDescent="0.2">
      <c r="A136" s="28">
        <v>12102</v>
      </c>
      <c r="B136" s="371" t="s">
        <v>96</v>
      </c>
      <c r="C136" s="372"/>
      <c r="D136" s="372"/>
      <c r="E136" s="29">
        <v>78246.17</v>
      </c>
      <c r="F136" s="29">
        <v>0</v>
      </c>
      <c r="G136" s="30"/>
      <c r="H136" s="29">
        <v>4858.7</v>
      </c>
      <c r="I136" s="30"/>
      <c r="J136" s="29">
        <v>73387.47</v>
      </c>
      <c r="K136" s="31">
        <f t="shared" si="2"/>
        <v>-4858.6999999999971</v>
      </c>
    </row>
    <row r="137" spans="1:11" ht="15.95" customHeight="1" x14ac:dyDescent="0.2">
      <c r="A137" s="26">
        <v>1210201</v>
      </c>
      <c r="B137" s="369" t="s">
        <v>97</v>
      </c>
      <c r="C137" s="370"/>
      <c r="D137" s="370"/>
      <c r="E137" s="27">
        <v>78246.17</v>
      </c>
      <c r="F137" s="27">
        <v>0</v>
      </c>
      <c r="H137" s="27">
        <v>4858.7</v>
      </c>
      <c r="J137" s="27">
        <v>73387.47</v>
      </c>
      <c r="K137" s="25">
        <f t="shared" si="2"/>
        <v>-4858.6999999999971</v>
      </c>
    </row>
    <row r="138" spans="1:11" ht="15.95" customHeight="1" x14ac:dyDescent="0.2">
      <c r="A138" s="26" t="s">
        <v>267</v>
      </c>
      <c r="B138" s="369" t="s">
        <v>102</v>
      </c>
      <c r="C138" s="370"/>
      <c r="D138" s="370"/>
      <c r="E138" s="27">
        <v>73387.47</v>
      </c>
      <c r="F138" s="27">
        <v>0</v>
      </c>
      <c r="H138" s="27">
        <v>0</v>
      </c>
      <c r="J138" s="27">
        <v>73387.47</v>
      </c>
      <c r="K138" s="25">
        <f t="shared" si="2"/>
        <v>0</v>
      </c>
    </row>
    <row r="139" spans="1:11" ht="15.95" customHeight="1" x14ac:dyDescent="0.2">
      <c r="A139" s="26" t="s">
        <v>1476</v>
      </c>
      <c r="B139" s="369" t="s">
        <v>1477</v>
      </c>
      <c r="C139" s="370"/>
      <c r="D139" s="370"/>
      <c r="E139" s="27">
        <v>4858.7</v>
      </c>
      <c r="F139" s="27">
        <v>0</v>
      </c>
      <c r="H139" s="27">
        <v>4858.7</v>
      </c>
      <c r="J139" s="27">
        <v>0</v>
      </c>
      <c r="K139" s="25">
        <f t="shared" si="2"/>
        <v>-4858.7</v>
      </c>
    </row>
    <row r="140" spans="1:11" ht="15.95" customHeight="1" x14ac:dyDescent="0.2">
      <c r="A140" s="28">
        <v>122</v>
      </c>
      <c r="B140" s="371" t="s">
        <v>268</v>
      </c>
      <c r="C140" s="372"/>
      <c r="D140" s="372"/>
      <c r="E140" s="29">
        <v>12203.91</v>
      </c>
      <c r="F140" s="29">
        <v>0</v>
      </c>
      <c r="G140" s="30"/>
      <c r="H140" s="29">
        <v>0</v>
      </c>
      <c r="I140" s="30"/>
      <c r="J140" s="29">
        <v>12203.91</v>
      </c>
      <c r="K140" s="31">
        <f t="shared" si="2"/>
        <v>0</v>
      </c>
    </row>
    <row r="141" spans="1:11" ht="15.95" customHeight="1" x14ac:dyDescent="0.2">
      <c r="A141" s="26">
        <v>12201</v>
      </c>
      <c r="B141" s="369" t="s">
        <v>268</v>
      </c>
      <c r="C141" s="370"/>
      <c r="D141" s="370"/>
      <c r="E141" s="27">
        <v>12203.91</v>
      </c>
      <c r="F141" s="27">
        <v>0</v>
      </c>
      <c r="H141" s="27">
        <v>0</v>
      </c>
      <c r="J141" s="27">
        <v>12203.91</v>
      </c>
      <c r="K141" s="25">
        <f t="shared" si="2"/>
        <v>0</v>
      </c>
    </row>
    <row r="142" spans="1:11" ht="15.95" customHeight="1" x14ac:dyDescent="0.2">
      <c r="A142" s="26">
        <v>1220105</v>
      </c>
      <c r="B142" s="369" t="s">
        <v>269</v>
      </c>
      <c r="C142" s="370"/>
      <c r="D142" s="370"/>
      <c r="E142" s="27">
        <v>12203.91</v>
      </c>
      <c r="F142" s="27">
        <v>0</v>
      </c>
      <c r="H142" s="27">
        <v>0</v>
      </c>
      <c r="J142" s="27">
        <v>12203.91</v>
      </c>
      <c r="K142" s="25">
        <f t="shared" si="2"/>
        <v>0</v>
      </c>
    </row>
    <row r="143" spans="1:11" ht="15.95" customHeight="1" x14ac:dyDescent="0.2">
      <c r="A143" s="26" t="s">
        <v>270</v>
      </c>
      <c r="B143" s="369" t="s">
        <v>271</v>
      </c>
      <c r="C143" s="370"/>
      <c r="D143" s="370"/>
      <c r="E143" s="27">
        <v>4179.53</v>
      </c>
      <c r="F143" s="27">
        <v>0</v>
      </c>
      <c r="H143" s="27">
        <v>0</v>
      </c>
      <c r="J143" s="27">
        <v>4179.53</v>
      </c>
      <c r="K143" s="25">
        <f t="shared" si="2"/>
        <v>0</v>
      </c>
    </row>
    <row r="144" spans="1:11" ht="15.95" customHeight="1" x14ac:dyDescent="0.2">
      <c r="A144" s="26" t="s">
        <v>272</v>
      </c>
      <c r="B144" s="369" t="s">
        <v>273</v>
      </c>
      <c r="C144" s="370"/>
      <c r="D144" s="370"/>
      <c r="E144" s="27">
        <v>8024.38</v>
      </c>
      <c r="F144" s="27">
        <v>0</v>
      </c>
      <c r="H144" s="27">
        <v>0</v>
      </c>
      <c r="J144" s="27">
        <v>8024.38</v>
      </c>
      <c r="K144" s="25">
        <f t="shared" si="2"/>
        <v>0</v>
      </c>
    </row>
    <row r="145" spans="1:11" ht="15.95" customHeight="1" x14ac:dyDescent="0.2">
      <c r="A145" s="26">
        <v>123</v>
      </c>
      <c r="B145" s="369" t="s">
        <v>274</v>
      </c>
      <c r="C145" s="370"/>
      <c r="D145" s="370"/>
      <c r="E145" s="27">
        <v>322168427.23000002</v>
      </c>
      <c r="F145" s="27">
        <v>36168850.289999999</v>
      </c>
      <c r="H145" s="27">
        <v>49518986.469999999</v>
      </c>
      <c r="J145" s="27">
        <v>308818291.05000001</v>
      </c>
      <c r="K145" s="25">
        <f t="shared" si="2"/>
        <v>-13350136.180000007</v>
      </c>
    </row>
    <row r="146" spans="1:11" ht="15.95" customHeight="1" x14ac:dyDescent="0.2">
      <c r="A146" s="28">
        <v>12301</v>
      </c>
      <c r="B146" s="371" t="s">
        <v>274</v>
      </c>
      <c r="C146" s="372"/>
      <c r="D146" s="372"/>
      <c r="E146" s="29">
        <v>402823127.56</v>
      </c>
      <c r="F146" s="29">
        <v>34669988.189999998</v>
      </c>
      <c r="G146" s="30"/>
      <c r="H146" s="29">
        <v>42430708.950000003</v>
      </c>
      <c r="I146" s="30"/>
      <c r="J146" s="29">
        <v>395062406.80000001</v>
      </c>
      <c r="K146" s="31">
        <f t="shared" si="2"/>
        <v>-7760720.7599999905</v>
      </c>
    </row>
    <row r="147" spans="1:11" ht="15.95" customHeight="1" x14ac:dyDescent="0.2">
      <c r="A147" s="26">
        <v>1230101</v>
      </c>
      <c r="B147" s="369" t="s">
        <v>275</v>
      </c>
      <c r="C147" s="370"/>
      <c r="D147" s="370"/>
      <c r="E147" s="27">
        <v>14974342.1</v>
      </c>
      <c r="F147" s="27">
        <v>400</v>
      </c>
      <c r="H147" s="27">
        <v>0</v>
      </c>
      <c r="J147" s="27">
        <v>14974742.1</v>
      </c>
      <c r="K147" s="25">
        <f t="shared" si="2"/>
        <v>400</v>
      </c>
    </row>
    <row r="148" spans="1:11" ht="15.95" customHeight="1" x14ac:dyDescent="0.2">
      <c r="A148" s="26" t="s">
        <v>276</v>
      </c>
      <c r="B148" s="369" t="s">
        <v>277</v>
      </c>
      <c r="C148" s="370"/>
      <c r="D148" s="370"/>
      <c r="E148" s="27">
        <v>65660.77</v>
      </c>
      <c r="F148" s="27">
        <v>0</v>
      </c>
      <c r="H148" s="27">
        <v>0</v>
      </c>
      <c r="J148" s="27">
        <v>65660.77</v>
      </c>
      <c r="K148" s="25">
        <f t="shared" si="2"/>
        <v>0</v>
      </c>
    </row>
    <row r="149" spans="1:11" ht="15.95" customHeight="1" x14ac:dyDescent="0.2">
      <c r="A149" s="26" t="s">
        <v>278</v>
      </c>
      <c r="B149" s="369" t="s">
        <v>279</v>
      </c>
      <c r="C149" s="370"/>
      <c r="D149" s="370"/>
      <c r="E149" s="27">
        <v>12832.06</v>
      </c>
      <c r="F149" s="27">
        <v>0</v>
      </c>
      <c r="H149" s="27">
        <v>0</v>
      </c>
      <c r="J149" s="27">
        <v>12832.06</v>
      </c>
      <c r="K149" s="25">
        <f t="shared" si="2"/>
        <v>0</v>
      </c>
    </row>
    <row r="150" spans="1:11" ht="15.95" customHeight="1" x14ac:dyDescent="0.2">
      <c r="A150" s="26" t="s">
        <v>280</v>
      </c>
      <c r="B150" s="369" t="s">
        <v>281</v>
      </c>
      <c r="C150" s="370"/>
      <c r="D150" s="370"/>
      <c r="E150" s="27">
        <v>1204903.52</v>
      </c>
      <c r="F150" s="27">
        <v>0</v>
      </c>
      <c r="H150" s="27">
        <v>0</v>
      </c>
      <c r="J150" s="27">
        <v>1204903.52</v>
      </c>
      <c r="K150" s="25">
        <f t="shared" si="2"/>
        <v>0</v>
      </c>
    </row>
    <row r="151" spans="1:11" ht="15.95" customHeight="1" x14ac:dyDescent="0.2">
      <c r="A151" s="26" t="s">
        <v>282</v>
      </c>
      <c r="B151" s="369" t="s">
        <v>283</v>
      </c>
      <c r="C151" s="370"/>
      <c r="D151" s="370"/>
      <c r="E151" s="27">
        <v>9692277.8000000007</v>
      </c>
      <c r="F151" s="27">
        <v>0</v>
      </c>
      <c r="H151" s="27">
        <v>0</v>
      </c>
      <c r="J151" s="27">
        <v>9692277.8000000007</v>
      </c>
      <c r="K151" s="25">
        <f t="shared" si="2"/>
        <v>0</v>
      </c>
    </row>
    <row r="152" spans="1:11" ht="15.95" customHeight="1" x14ac:dyDescent="0.2">
      <c r="A152" s="26" t="s">
        <v>284</v>
      </c>
      <c r="B152" s="369" t="s">
        <v>285</v>
      </c>
      <c r="C152" s="370"/>
      <c r="D152" s="370"/>
      <c r="E152" s="27">
        <v>666282.91</v>
      </c>
      <c r="F152" s="27">
        <v>400</v>
      </c>
      <c r="H152" s="27">
        <v>0</v>
      </c>
      <c r="J152" s="27">
        <v>666682.91</v>
      </c>
      <c r="K152" s="25">
        <f t="shared" si="2"/>
        <v>400</v>
      </c>
    </row>
    <row r="153" spans="1:11" ht="15.95" customHeight="1" x14ac:dyDescent="0.2">
      <c r="A153" s="26" t="s">
        <v>286</v>
      </c>
      <c r="B153" s="369" t="s">
        <v>287</v>
      </c>
      <c r="C153" s="370"/>
      <c r="D153" s="370"/>
      <c r="E153" s="27">
        <v>1279140.06</v>
      </c>
      <c r="F153" s="27">
        <v>0</v>
      </c>
      <c r="H153" s="27">
        <v>0</v>
      </c>
      <c r="J153" s="27">
        <v>1279140.06</v>
      </c>
      <c r="K153" s="25">
        <f t="shared" si="2"/>
        <v>0</v>
      </c>
    </row>
    <row r="154" spans="1:11" ht="15.95" customHeight="1" x14ac:dyDescent="0.2">
      <c r="A154" s="26" t="s">
        <v>288</v>
      </c>
      <c r="B154" s="369" t="s">
        <v>289</v>
      </c>
      <c r="C154" s="370"/>
      <c r="D154" s="370"/>
      <c r="E154" s="27">
        <v>1259543.1399999999</v>
      </c>
      <c r="F154" s="27">
        <v>0</v>
      </c>
      <c r="H154" s="27">
        <v>0</v>
      </c>
      <c r="J154" s="27">
        <v>1259543.1399999999</v>
      </c>
      <c r="K154" s="25">
        <f t="shared" si="2"/>
        <v>0</v>
      </c>
    </row>
    <row r="155" spans="1:11" ht="15.95" customHeight="1" x14ac:dyDescent="0.2">
      <c r="A155" s="26" t="s">
        <v>290</v>
      </c>
      <c r="B155" s="369" t="s">
        <v>291</v>
      </c>
      <c r="C155" s="370"/>
      <c r="D155" s="370"/>
      <c r="E155" s="27">
        <v>778347.84</v>
      </c>
      <c r="F155" s="27">
        <v>0</v>
      </c>
      <c r="H155" s="27">
        <v>0</v>
      </c>
      <c r="J155" s="27">
        <v>778347.84</v>
      </c>
      <c r="K155" s="25">
        <f t="shared" si="2"/>
        <v>0</v>
      </c>
    </row>
    <row r="156" spans="1:11" ht="15.95" customHeight="1" x14ac:dyDescent="0.2">
      <c r="A156" s="26" t="s">
        <v>292</v>
      </c>
      <c r="B156" s="369" t="s">
        <v>293</v>
      </c>
      <c r="C156" s="370"/>
      <c r="D156" s="370"/>
      <c r="E156" s="27">
        <v>15354</v>
      </c>
      <c r="F156" s="27">
        <v>0</v>
      </c>
      <c r="H156" s="27">
        <v>0</v>
      </c>
      <c r="J156" s="27">
        <v>15354</v>
      </c>
      <c r="K156" s="25">
        <f t="shared" si="2"/>
        <v>0</v>
      </c>
    </row>
    <row r="157" spans="1:11" ht="15.95" customHeight="1" x14ac:dyDescent="0.2">
      <c r="A157" s="26">
        <v>1230102</v>
      </c>
      <c r="B157" s="369" t="s">
        <v>296</v>
      </c>
      <c r="C157" s="370"/>
      <c r="D157" s="370"/>
      <c r="E157" s="27">
        <v>115537342.59999999</v>
      </c>
      <c r="F157" s="27">
        <v>34623941.630000003</v>
      </c>
      <c r="H157" s="27">
        <v>5663856.9400000004</v>
      </c>
      <c r="J157" s="27">
        <v>144497427.28999999</v>
      </c>
      <c r="K157" s="25">
        <f t="shared" si="2"/>
        <v>28960084.689999998</v>
      </c>
    </row>
    <row r="158" spans="1:11" ht="15.95" customHeight="1" x14ac:dyDescent="0.2">
      <c r="A158" s="26" t="s">
        <v>297</v>
      </c>
      <c r="B158" s="369" t="s">
        <v>298</v>
      </c>
      <c r="C158" s="370"/>
      <c r="D158" s="370"/>
      <c r="E158" s="27">
        <v>1770.62</v>
      </c>
      <c r="F158" s="27">
        <v>0</v>
      </c>
      <c r="H158" s="27">
        <v>0</v>
      </c>
      <c r="J158" s="27">
        <v>1770.62</v>
      </c>
      <c r="K158" s="25">
        <f t="shared" si="2"/>
        <v>0</v>
      </c>
    </row>
    <row r="159" spans="1:11" ht="15.95" customHeight="1" x14ac:dyDescent="0.2">
      <c r="A159" s="26" t="s">
        <v>299</v>
      </c>
      <c r="B159" s="369" t="s">
        <v>300</v>
      </c>
      <c r="C159" s="370"/>
      <c r="D159" s="370"/>
      <c r="E159" s="27">
        <v>14979891.75</v>
      </c>
      <c r="F159" s="27">
        <v>0</v>
      </c>
      <c r="H159" s="27">
        <v>609670.02</v>
      </c>
      <c r="J159" s="27">
        <v>14370221.73</v>
      </c>
      <c r="K159" s="25">
        <f t="shared" si="2"/>
        <v>-609670.01999999955</v>
      </c>
    </row>
    <row r="160" spans="1:11" ht="15.95" customHeight="1" x14ac:dyDescent="0.2">
      <c r="A160" s="26" t="s">
        <v>301</v>
      </c>
      <c r="B160" s="369" t="s">
        <v>302</v>
      </c>
      <c r="C160" s="370"/>
      <c r="D160" s="370"/>
      <c r="E160" s="27">
        <v>4450.58</v>
      </c>
      <c r="F160" s="27">
        <v>0</v>
      </c>
      <c r="H160" s="27">
        <v>0</v>
      </c>
      <c r="J160" s="27">
        <v>4450.58</v>
      </c>
      <c r="K160" s="25">
        <f t="shared" si="2"/>
        <v>0</v>
      </c>
    </row>
    <row r="161" spans="1:12" ht="15.95" customHeight="1" x14ac:dyDescent="0.2">
      <c r="A161" s="26" t="s">
        <v>303</v>
      </c>
      <c r="B161" s="369" t="s">
        <v>304</v>
      </c>
      <c r="C161" s="370"/>
      <c r="D161" s="370"/>
      <c r="E161" s="27">
        <v>3018715.09</v>
      </c>
      <c r="F161" s="27">
        <v>22053699.48</v>
      </c>
      <c r="H161" s="27">
        <v>1048631.78</v>
      </c>
      <c r="J161" s="27">
        <v>24023782.789999999</v>
      </c>
      <c r="K161" s="25">
        <f t="shared" si="2"/>
        <v>21005067.699999999</v>
      </c>
    </row>
    <row r="162" spans="1:12" ht="15.95" customHeight="1" x14ac:dyDescent="0.2">
      <c r="A162" s="26" t="s">
        <v>305</v>
      </c>
      <c r="B162" s="369" t="s">
        <v>306</v>
      </c>
      <c r="C162" s="370"/>
      <c r="D162" s="370"/>
      <c r="E162" s="27">
        <v>59377048.119999997</v>
      </c>
      <c r="F162" s="27">
        <v>598141.6</v>
      </c>
      <c r="H162" s="27">
        <v>0</v>
      </c>
      <c r="J162" s="27">
        <v>59975189.719999999</v>
      </c>
      <c r="K162" s="25">
        <f t="shared" si="2"/>
        <v>598141.60000000149</v>
      </c>
      <c r="L162" s="20">
        <f>F162+F179+F152</f>
        <v>644188.15999999992</v>
      </c>
    </row>
    <row r="163" spans="1:12" ht="27.95" customHeight="1" x14ac:dyDescent="0.2">
      <c r="A163" s="26" t="s">
        <v>307</v>
      </c>
      <c r="B163" s="369" t="s">
        <v>308</v>
      </c>
      <c r="C163" s="370"/>
      <c r="D163" s="370"/>
      <c r="E163" s="27">
        <v>9551045.0299999993</v>
      </c>
      <c r="F163" s="27">
        <v>6900377.1699999999</v>
      </c>
      <c r="H163" s="27">
        <v>0</v>
      </c>
      <c r="J163" s="27">
        <v>16451422.199999999</v>
      </c>
      <c r="K163" s="25">
        <f t="shared" si="2"/>
        <v>6900377.1699999999</v>
      </c>
    </row>
    <row r="164" spans="1:12" ht="15.95" customHeight="1" x14ac:dyDescent="0.2">
      <c r="A164" s="26" t="s">
        <v>309</v>
      </c>
      <c r="B164" s="369" t="s">
        <v>310</v>
      </c>
      <c r="C164" s="370"/>
      <c r="D164" s="370"/>
      <c r="E164" s="27">
        <v>501889.3</v>
      </c>
      <c r="F164" s="27">
        <v>0</v>
      </c>
      <c r="H164" s="27">
        <v>0</v>
      </c>
      <c r="J164" s="27">
        <v>501889.3</v>
      </c>
      <c r="K164" s="25">
        <f t="shared" si="2"/>
        <v>0</v>
      </c>
    </row>
    <row r="165" spans="1:12" ht="15.95" customHeight="1" x14ac:dyDescent="0.2">
      <c r="A165" s="26" t="s">
        <v>311</v>
      </c>
      <c r="B165" s="369" t="s">
        <v>312</v>
      </c>
      <c r="C165" s="370"/>
      <c r="D165" s="370"/>
      <c r="E165" s="27">
        <v>95202.46</v>
      </c>
      <c r="F165" s="27">
        <v>0</v>
      </c>
      <c r="H165" s="27">
        <v>0</v>
      </c>
      <c r="J165" s="27">
        <v>95202.46</v>
      </c>
      <c r="K165" s="25">
        <f t="shared" si="2"/>
        <v>0</v>
      </c>
    </row>
    <row r="166" spans="1:12" ht="15.95" customHeight="1" x14ac:dyDescent="0.2">
      <c r="A166" s="26" t="s">
        <v>313</v>
      </c>
      <c r="B166" s="369" t="s">
        <v>314</v>
      </c>
      <c r="C166" s="370"/>
      <c r="D166" s="370"/>
      <c r="E166" s="27">
        <v>13925.73</v>
      </c>
      <c r="F166" s="27">
        <v>0</v>
      </c>
      <c r="H166" s="27">
        <v>0</v>
      </c>
      <c r="J166" s="27">
        <v>13925.73</v>
      </c>
      <c r="K166" s="25">
        <f t="shared" si="2"/>
        <v>0</v>
      </c>
    </row>
    <row r="167" spans="1:12" ht="15.95" customHeight="1" x14ac:dyDescent="0.2">
      <c r="A167" s="26" t="s">
        <v>315</v>
      </c>
      <c r="B167" s="369" t="s">
        <v>316</v>
      </c>
      <c r="C167" s="370"/>
      <c r="D167" s="370"/>
      <c r="E167" s="27">
        <v>12484345.49</v>
      </c>
      <c r="F167" s="27">
        <v>0</v>
      </c>
      <c r="H167" s="27">
        <v>0</v>
      </c>
      <c r="J167" s="27">
        <v>12484345.49</v>
      </c>
      <c r="K167" s="25">
        <f t="shared" si="2"/>
        <v>0</v>
      </c>
    </row>
    <row r="168" spans="1:12" ht="15.95" customHeight="1" x14ac:dyDescent="0.2">
      <c r="A168" s="26" t="s">
        <v>317</v>
      </c>
      <c r="B168" s="369" t="s">
        <v>318</v>
      </c>
      <c r="C168" s="370"/>
      <c r="D168" s="370"/>
      <c r="E168" s="27">
        <v>984332.14</v>
      </c>
      <c r="F168" s="27">
        <v>0</v>
      </c>
      <c r="H168" s="27">
        <v>0</v>
      </c>
      <c r="J168" s="27">
        <v>984332.14</v>
      </c>
      <c r="K168" s="25">
        <f t="shared" si="2"/>
        <v>0</v>
      </c>
    </row>
    <row r="169" spans="1:12" ht="15.95" customHeight="1" x14ac:dyDescent="0.2">
      <c r="A169" s="26" t="s">
        <v>319</v>
      </c>
      <c r="B169" s="369" t="s">
        <v>320</v>
      </c>
      <c r="C169" s="370"/>
      <c r="D169" s="370"/>
      <c r="E169" s="27">
        <v>600371.77</v>
      </c>
      <c r="F169" s="27">
        <v>0</v>
      </c>
      <c r="H169" s="27">
        <v>0</v>
      </c>
      <c r="J169" s="27">
        <v>600371.77</v>
      </c>
      <c r="K169" s="25">
        <f t="shared" si="2"/>
        <v>0</v>
      </c>
    </row>
    <row r="170" spans="1:12" ht="15.95" customHeight="1" x14ac:dyDescent="0.2">
      <c r="A170" s="26" t="s">
        <v>321</v>
      </c>
      <c r="B170" s="369" t="s">
        <v>322</v>
      </c>
      <c r="C170" s="370"/>
      <c r="D170" s="370"/>
      <c r="E170" s="27">
        <v>123943.43</v>
      </c>
      <c r="F170" s="27">
        <v>0</v>
      </c>
      <c r="H170" s="27">
        <v>0</v>
      </c>
      <c r="J170" s="27">
        <v>123943.43</v>
      </c>
      <c r="K170" s="25">
        <f t="shared" si="2"/>
        <v>0</v>
      </c>
    </row>
    <row r="171" spans="1:12" ht="15.95" customHeight="1" x14ac:dyDescent="0.2">
      <c r="A171" s="26" t="s">
        <v>323</v>
      </c>
      <c r="B171" s="369" t="s">
        <v>324</v>
      </c>
      <c r="C171" s="370"/>
      <c r="D171" s="370"/>
      <c r="E171" s="27">
        <v>149.38</v>
      </c>
      <c r="F171" s="27">
        <v>0</v>
      </c>
      <c r="H171" s="27">
        <v>0</v>
      </c>
      <c r="J171" s="27">
        <v>149.38</v>
      </c>
      <c r="K171" s="25">
        <f t="shared" si="2"/>
        <v>0</v>
      </c>
    </row>
    <row r="172" spans="1:12" ht="15.95" customHeight="1" x14ac:dyDescent="0.2">
      <c r="A172" s="26" t="s">
        <v>325</v>
      </c>
      <c r="B172" s="369" t="s">
        <v>326</v>
      </c>
      <c r="C172" s="370"/>
      <c r="D172" s="370"/>
      <c r="E172" s="27">
        <v>2942111.51</v>
      </c>
      <c r="F172" s="27">
        <v>0</v>
      </c>
      <c r="H172" s="27">
        <v>0</v>
      </c>
      <c r="J172" s="27">
        <v>2942111.51</v>
      </c>
      <c r="K172" s="25">
        <f t="shared" si="2"/>
        <v>0</v>
      </c>
    </row>
    <row r="173" spans="1:12" ht="15.95" customHeight="1" x14ac:dyDescent="0.2">
      <c r="A173" s="26" t="s">
        <v>327</v>
      </c>
      <c r="B173" s="369" t="s">
        <v>328</v>
      </c>
      <c r="C173" s="370"/>
      <c r="D173" s="370"/>
      <c r="E173" s="27">
        <v>1970.82</v>
      </c>
      <c r="F173" s="27">
        <v>0</v>
      </c>
      <c r="H173" s="27">
        <v>0</v>
      </c>
      <c r="J173" s="27">
        <v>1970.82</v>
      </c>
      <c r="K173" s="25">
        <f t="shared" si="2"/>
        <v>0</v>
      </c>
    </row>
    <row r="174" spans="1:12" ht="15.95" customHeight="1" x14ac:dyDescent="0.2">
      <c r="A174" s="26" t="s">
        <v>329</v>
      </c>
      <c r="B174" s="369" t="s">
        <v>330</v>
      </c>
      <c r="C174" s="370"/>
      <c r="D174" s="370"/>
      <c r="E174" s="27">
        <v>468475.02</v>
      </c>
      <c r="F174" s="27">
        <v>0</v>
      </c>
      <c r="H174" s="27">
        <v>0</v>
      </c>
      <c r="J174" s="27">
        <v>468475.02</v>
      </c>
      <c r="K174" s="25">
        <f t="shared" si="2"/>
        <v>0</v>
      </c>
    </row>
    <row r="175" spans="1:12" ht="15.95" customHeight="1" x14ac:dyDescent="0.2">
      <c r="A175" s="26" t="s">
        <v>331</v>
      </c>
      <c r="B175" s="369" t="s">
        <v>332</v>
      </c>
      <c r="C175" s="370"/>
      <c r="D175" s="370"/>
      <c r="E175" s="27">
        <v>7045901.6699999999</v>
      </c>
      <c r="F175" s="27">
        <v>0</v>
      </c>
      <c r="H175" s="27">
        <v>0</v>
      </c>
      <c r="J175" s="27">
        <v>7045901.6699999999</v>
      </c>
      <c r="K175" s="25">
        <f t="shared" si="2"/>
        <v>0</v>
      </c>
    </row>
    <row r="176" spans="1:12" ht="15.95" customHeight="1" x14ac:dyDescent="0.2">
      <c r="A176" s="26" t="s">
        <v>333</v>
      </c>
      <c r="B176" s="369" t="s">
        <v>334</v>
      </c>
      <c r="C176" s="370"/>
      <c r="D176" s="370"/>
      <c r="E176" s="27">
        <v>1224566.5900000001</v>
      </c>
      <c r="F176" s="27">
        <v>0</v>
      </c>
      <c r="H176" s="27">
        <v>0</v>
      </c>
      <c r="J176" s="27">
        <v>1224566.5900000001</v>
      </c>
      <c r="K176" s="25">
        <f t="shared" si="2"/>
        <v>0</v>
      </c>
    </row>
    <row r="177" spans="1:11" ht="15.95" customHeight="1" x14ac:dyDescent="0.2">
      <c r="A177" s="26" t="s">
        <v>335</v>
      </c>
      <c r="B177" s="369" t="s">
        <v>336</v>
      </c>
      <c r="C177" s="370"/>
      <c r="D177" s="370"/>
      <c r="E177" s="27">
        <v>2117236.1</v>
      </c>
      <c r="F177" s="27">
        <v>0</v>
      </c>
      <c r="H177" s="27">
        <v>0</v>
      </c>
      <c r="J177" s="27">
        <v>2117236.1</v>
      </c>
      <c r="K177" s="25">
        <f t="shared" si="2"/>
        <v>0</v>
      </c>
    </row>
    <row r="178" spans="1:11" ht="15.95" customHeight="1" x14ac:dyDescent="0.2">
      <c r="A178" s="26" t="s">
        <v>337</v>
      </c>
      <c r="B178" s="369" t="s">
        <v>338</v>
      </c>
      <c r="C178" s="370"/>
      <c r="D178" s="370"/>
      <c r="E178" s="27">
        <v>0</v>
      </c>
      <c r="F178" s="27">
        <v>5071723.38</v>
      </c>
      <c r="H178" s="27">
        <v>4005555.14</v>
      </c>
      <c r="J178" s="27">
        <v>1066168.24</v>
      </c>
      <c r="K178" s="25">
        <f t="shared" si="2"/>
        <v>1066168.24</v>
      </c>
    </row>
    <row r="179" spans="1:11" ht="15.95" customHeight="1" x14ac:dyDescent="0.2">
      <c r="A179" s="26">
        <v>1230103</v>
      </c>
      <c r="B179" s="369" t="s">
        <v>339</v>
      </c>
      <c r="C179" s="370"/>
      <c r="D179" s="370"/>
      <c r="E179" s="27">
        <v>35013647.759999998</v>
      </c>
      <c r="F179" s="27">
        <v>45646.559999999998</v>
      </c>
      <c r="H179" s="27">
        <v>34025800.030000001</v>
      </c>
      <c r="J179" s="27">
        <v>1033494.29</v>
      </c>
      <c r="K179" s="25">
        <f t="shared" si="2"/>
        <v>-33980153.469999999</v>
      </c>
    </row>
    <row r="180" spans="1:11" ht="15.95" customHeight="1" x14ac:dyDescent="0.2">
      <c r="A180" s="26" t="s">
        <v>1478</v>
      </c>
      <c r="B180" s="369" t="s">
        <v>1479</v>
      </c>
      <c r="C180" s="370"/>
      <c r="D180" s="370"/>
      <c r="E180" s="27">
        <v>1432134.18</v>
      </c>
      <c r="F180" s="27">
        <v>0</v>
      </c>
      <c r="H180" s="27">
        <v>1432134.18</v>
      </c>
      <c r="J180" s="27">
        <v>0</v>
      </c>
      <c r="K180" s="25">
        <f t="shared" si="2"/>
        <v>-1432134.18</v>
      </c>
    </row>
    <row r="181" spans="1:11" ht="15.95" customHeight="1" x14ac:dyDescent="0.2">
      <c r="A181" s="26" t="s">
        <v>1480</v>
      </c>
      <c r="B181" s="369" t="s">
        <v>1481</v>
      </c>
      <c r="C181" s="370"/>
      <c r="D181" s="370"/>
      <c r="E181" s="27">
        <v>5468242.9900000002</v>
      </c>
      <c r="F181" s="27">
        <v>0</v>
      </c>
      <c r="H181" s="27">
        <v>5468242.9900000002</v>
      </c>
      <c r="J181" s="27">
        <v>0</v>
      </c>
      <c r="K181" s="25">
        <f t="shared" si="2"/>
        <v>-5468242.9900000002</v>
      </c>
    </row>
    <row r="182" spans="1:11" ht="15.95" customHeight="1" x14ac:dyDescent="0.2">
      <c r="A182" s="26" t="s">
        <v>1482</v>
      </c>
      <c r="B182" s="369" t="s">
        <v>1483</v>
      </c>
      <c r="C182" s="370"/>
      <c r="D182" s="370"/>
      <c r="E182" s="27">
        <v>22053699.48</v>
      </c>
      <c r="F182" s="27">
        <v>0</v>
      </c>
      <c r="H182" s="27">
        <v>22053699.48</v>
      </c>
      <c r="J182" s="27">
        <v>0</v>
      </c>
      <c r="K182" s="25">
        <f t="shared" si="2"/>
        <v>-22053699.48</v>
      </c>
    </row>
    <row r="183" spans="1:11" ht="15.95" customHeight="1" x14ac:dyDescent="0.2">
      <c r="A183" s="26" t="s">
        <v>1484</v>
      </c>
      <c r="B183" s="369" t="s">
        <v>1485</v>
      </c>
      <c r="C183" s="370"/>
      <c r="D183" s="370"/>
      <c r="E183" s="27">
        <v>5071723.38</v>
      </c>
      <c r="F183" s="27">
        <v>0</v>
      </c>
      <c r="H183" s="27">
        <v>5071723.38</v>
      </c>
      <c r="J183" s="27">
        <v>0</v>
      </c>
      <c r="K183" s="25">
        <f t="shared" si="2"/>
        <v>-5071723.38</v>
      </c>
    </row>
    <row r="184" spans="1:11" ht="15.95" customHeight="1" x14ac:dyDescent="0.2">
      <c r="A184" s="26" t="s">
        <v>340</v>
      </c>
      <c r="B184" s="369" t="s">
        <v>341</v>
      </c>
      <c r="C184" s="370"/>
      <c r="D184" s="370"/>
      <c r="E184" s="27">
        <v>382225.69</v>
      </c>
      <c r="F184" s="27">
        <v>0</v>
      </c>
      <c r="H184" s="27">
        <v>0</v>
      </c>
      <c r="J184" s="27">
        <v>382225.69</v>
      </c>
      <c r="K184" s="25">
        <f t="shared" si="2"/>
        <v>0</v>
      </c>
    </row>
    <row r="185" spans="1:11" ht="15.95" customHeight="1" x14ac:dyDescent="0.2">
      <c r="A185" s="26" t="s">
        <v>1486</v>
      </c>
      <c r="B185" s="369" t="s">
        <v>295</v>
      </c>
      <c r="C185" s="370"/>
      <c r="D185" s="370"/>
      <c r="E185" s="27">
        <v>605622.04</v>
      </c>
      <c r="F185" s="27">
        <v>45646.559999999998</v>
      </c>
      <c r="H185" s="27">
        <v>0</v>
      </c>
      <c r="J185" s="27">
        <v>651268.6</v>
      </c>
      <c r="K185" s="25">
        <f t="shared" si="2"/>
        <v>45646.559999999939</v>
      </c>
    </row>
    <row r="186" spans="1:11" ht="15.95" customHeight="1" x14ac:dyDescent="0.2">
      <c r="A186" s="26">
        <v>1230104</v>
      </c>
      <c r="B186" s="369" t="s">
        <v>342</v>
      </c>
      <c r="C186" s="370"/>
      <c r="D186" s="370"/>
      <c r="E186" s="27">
        <v>1626929.13</v>
      </c>
      <c r="F186" s="27">
        <v>0</v>
      </c>
      <c r="H186" s="27">
        <v>0</v>
      </c>
      <c r="J186" s="27">
        <v>1626929.13</v>
      </c>
      <c r="K186" s="25">
        <f t="shared" si="2"/>
        <v>0</v>
      </c>
    </row>
    <row r="187" spans="1:11" ht="15.95" customHeight="1" x14ac:dyDescent="0.2">
      <c r="A187" s="26" t="s">
        <v>343</v>
      </c>
      <c r="B187" s="369" t="s">
        <v>344</v>
      </c>
      <c r="C187" s="370"/>
      <c r="D187" s="370"/>
      <c r="E187" s="27">
        <v>527833.12</v>
      </c>
      <c r="F187" s="27">
        <v>0</v>
      </c>
      <c r="H187" s="27">
        <v>0</v>
      </c>
      <c r="J187" s="27">
        <v>527833.12</v>
      </c>
      <c r="K187" s="25">
        <f t="shared" si="2"/>
        <v>0</v>
      </c>
    </row>
    <row r="188" spans="1:11" ht="15.95" customHeight="1" x14ac:dyDescent="0.2">
      <c r="A188" s="26" t="s">
        <v>345</v>
      </c>
      <c r="B188" s="369" t="s">
        <v>346</v>
      </c>
      <c r="C188" s="370"/>
      <c r="D188" s="370"/>
      <c r="E188" s="27">
        <v>140000</v>
      </c>
      <c r="F188" s="27">
        <v>0</v>
      </c>
      <c r="H188" s="27">
        <v>0</v>
      </c>
      <c r="J188" s="27">
        <v>140000</v>
      </c>
      <c r="K188" s="25">
        <f t="shared" si="2"/>
        <v>0</v>
      </c>
    </row>
    <row r="189" spans="1:11" ht="15.95" customHeight="1" x14ac:dyDescent="0.2">
      <c r="A189" s="26" t="s">
        <v>347</v>
      </c>
      <c r="B189" s="369" t="s">
        <v>348</v>
      </c>
      <c r="C189" s="370"/>
      <c r="D189" s="370"/>
      <c r="E189" s="27">
        <v>959096.01</v>
      </c>
      <c r="F189" s="27">
        <v>0</v>
      </c>
      <c r="H189" s="27">
        <v>0</v>
      </c>
      <c r="J189" s="27">
        <v>959096.01</v>
      </c>
      <c r="K189" s="25">
        <f t="shared" si="2"/>
        <v>0</v>
      </c>
    </row>
    <row r="190" spans="1:11" ht="15.95" customHeight="1" x14ac:dyDescent="0.2">
      <c r="A190" s="26">
        <v>1230105</v>
      </c>
      <c r="B190" s="369" t="s">
        <v>349</v>
      </c>
      <c r="C190" s="370"/>
      <c r="D190" s="370"/>
      <c r="E190" s="27">
        <v>238454443.41</v>
      </c>
      <c r="F190" s="27">
        <v>0</v>
      </c>
      <c r="H190" s="27">
        <v>0</v>
      </c>
      <c r="J190" s="27">
        <v>238454443.41</v>
      </c>
      <c r="K190" s="25">
        <f t="shared" si="2"/>
        <v>0</v>
      </c>
    </row>
    <row r="191" spans="1:11" ht="15.95" customHeight="1" x14ac:dyDescent="0.2">
      <c r="A191" s="26" t="s">
        <v>350</v>
      </c>
      <c r="B191" s="369" t="s">
        <v>351</v>
      </c>
      <c r="C191" s="370"/>
      <c r="D191" s="370"/>
      <c r="E191" s="27">
        <v>231979697.44</v>
      </c>
      <c r="F191" s="27">
        <v>0</v>
      </c>
      <c r="H191" s="27">
        <v>0</v>
      </c>
      <c r="J191" s="27">
        <v>231979697.44</v>
      </c>
      <c r="K191" s="25">
        <f t="shared" si="2"/>
        <v>0</v>
      </c>
    </row>
    <row r="192" spans="1:11" ht="15.95" customHeight="1" x14ac:dyDescent="0.2">
      <c r="A192" s="26" t="s">
        <v>352</v>
      </c>
      <c r="B192" s="369" t="s">
        <v>353</v>
      </c>
      <c r="C192" s="370"/>
      <c r="D192" s="370"/>
      <c r="E192" s="27">
        <v>1093994.98</v>
      </c>
      <c r="F192" s="27">
        <v>0</v>
      </c>
      <c r="H192" s="27">
        <v>0</v>
      </c>
      <c r="J192" s="27">
        <v>1093994.98</v>
      </c>
      <c r="K192" s="25">
        <f t="shared" si="2"/>
        <v>0</v>
      </c>
    </row>
    <row r="193" spans="1:11" ht="15.95" customHeight="1" x14ac:dyDescent="0.2">
      <c r="A193" s="26" t="s">
        <v>354</v>
      </c>
      <c r="B193" s="369" t="s">
        <v>355</v>
      </c>
      <c r="C193" s="370"/>
      <c r="D193" s="370"/>
      <c r="E193" s="27">
        <v>3533050.99</v>
      </c>
      <c r="F193" s="27">
        <v>0</v>
      </c>
      <c r="H193" s="27">
        <v>0</v>
      </c>
      <c r="J193" s="27">
        <v>3533050.99</v>
      </c>
      <c r="K193" s="25">
        <f t="shared" si="2"/>
        <v>0</v>
      </c>
    </row>
    <row r="194" spans="1:11" ht="15.95" customHeight="1" x14ac:dyDescent="0.2">
      <c r="A194" s="26" t="s">
        <v>356</v>
      </c>
      <c r="B194" s="369" t="s">
        <v>357</v>
      </c>
      <c r="C194" s="370"/>
      <c r="D194" s="370"/>
      <c r="E194" s="27">
        <v>6700</v>
      </c>
      <c r="F194" s="27">
        <v>0</v>
      </c>
      <c r="H194" s="27">
        <v>0</v>
      </c>
      <c r="J194" s="27">
        <v>6700</v>
      </c>
      <c r="K194" s="25">
        <f t="shared" si="2"/>
        <v>0</v>
      </c>
    </row>
    <row r="195" spans="1:11" ht="15.95" customHeight="1" x14ac:dyDescent="0.2">
      <c r="A195" s="26" t="s">
        <v>358</v>
      </c>
      <c r="B195" s="369" t="s">
        <v>359</v>
      </c>
      <c r="C195" s="370"/>
      <c r="D195" s="370"/>
      <c r="E195" s="27">
        <v>1841000</v>
      </c>
      <c r="F195" s="27">
        <v>0</v>
      </c>
      <c r="H195" s="27">
        <v>0</v>
      </c>
      <c r="J195" s="27">
        <v>1841000</v>
      </c>
      <c r="K195" s="25">
        <f t="shared" ref="K195:K258" si="3">J195-E195</f>
        <v>0</v>
      </c>
    </row>
    <row r="196" spans="1:11" ht="15.95" customHeight="1" x14ac:dyDescent="0.2">
      <c r="A196" s="26">
        <v>1230108</v>
      </c>
      <c r="B196" s="369" t="s">
        <v>360</v>
      </c>
      <c r="C196" s="370"/>
      <c r="D196" s="370"/>
      <c r="E196" s="27">
        <v>-2783577.44</v>
      </c>
      <c r="F196" s="27">
        <v>0</v>
      </c>
      <c r="H196" s="27">
        <v>2741051.98</v>
      </c>
      <c r="J196" s="27">
        <v>-5524629.4199999999</v>
      </c>
      <c r="K196" s="25">
        <f t="shared" si="3"/>
        <v>-2741051.98</v>
      </c>
    </row>
    <row r="197" spans="1:11" ht="15.95" customHeight="1" x14ac:dyDescent="0.2">
      <c r="A197" s="26" t="s">
        <v>361</v>
      </c>
      <c r="B197" s="369" t="s">
        <v>362</v>
      </c>
      <c r="C197" s="370"/>
      <c r="D197" s="370"/>
      <c r="E197" s="27">
        <v>-18424.2</v>
      </c>
      <c r="F197" s="27">
        <v>0</v>
      </c>
      <c r="H197" s="27">
        <v>0</v>
      </c>
      <c r="J197" s="27">
        <v>-18424.2</v>
      </c>
      <c r="K197" s="25">
        <f t="shared" si="3"/>
        <v>0</v>
      </c>
    </row>
    <row r="198" spans="1:11" ht="15.95" customHeight="1" x14ac:dyDescent="0.2">
      <c r="A198" s="26" t="s">
        <v>363</v>
      </c>
      <c r="B198" s="369" t="s">
        <v>364</v>
      </c>
      <c r="C198" s="370"/>
      <c r="D198" s="370"/>
      <c r="E198" s="27">
        <v>-170198.69</v>
      </c>
      <c r="F198" s="27">
        <v>0</v>
      </c>
      <c r="H198" s="27">
        <v>0</v>
      </c>
      <c r="J198" s="27">
        <v>-170198.69</v>
      </c>
      <c r="K198" s="25">
        <f t="shared" si="3"/>
        <v>0</v>
      </c>
    </row>
    <row r="199" spans="1:11" ht="15.95" customHeight="1" x14ac:dyDescent="0.2">
      <c r="A199" s="26" t="s">
        <v>365</v>
      </c>
      <c r="B199" s="369" t="s">
        <v>366</v>
      </c>
      <c r="C199" s="370"/>
      <c r="D199" s="370"/>
      <c r="E199" s="27">
        <v>-23611.29</v>
      </c>
      <c r="F199" s="27">
        <v>0</v>
      </c>
      <c r="H199" s="27">
        <v>0</v>
      </c>
      <c r="J199" s="27">
        <v>-23611.29</v>
      </c>
      <c r="K199" s="25">
        <f t="shared" si="3"/>
        <v>0</v>
      </c>
    </row>
    <row r="200" spans="1:11" ht="15.95" customHeight="1" x14ac:dyDescent="0.2">
      <c r="A200" s="26" t="s">
        <v>367</v>
      </c>
      <c r="B200" s="369" t="s">
        <v>368</v>
      </c>
      <c r="C200" s="370"/>
      <c r="D200" s="370"/>
      <c r="E200" s="27">
        <v>-8308.92</v>
      </c>
      <c r="F200" s="27">
        <v>0</v>
      </c>
      <c r="H200" s="27">
        <v>0</v>
      </c>
      <c r="J200" s="27">
        <v>-8308.92</v>
      </c>
      <c r="K200" s="25">
        <f t="shared" si="3"/>
        <v>0</v>
      </c>
    </row>
    <row r="201" spans="1:11" ht="15.95" customHeight="1" x14ac:dyDescent="0.2">
      <c r="A201" s="26" t="s">
        <v>369</v>
      </c>
      <c r="B201" s="369" t="s">
        <v>370</v>
      </c>
      <c r="C201" s="370"/>
      <c r="D201" s="370"/>
      <c r="E201" s="27">
        <v>-4233.8599999999997</v>
      </c>
      <c r="F201" s="27">
        <v>0</v>
      </c>
      <c r="H201" s="27">
        <v>0</v>
      </c>
      <c r="J201" s="27">
        <v>-4233.8599999999997</v>
      </c>
      <c r="K201" s="25">
        <f t="shared" si="3"/>
        <v>0</v>
      </c>
    </row>
    <row r="202" spans="1:11" ht="15.95" customHeight="1" x14ac:dyDescent="0.2">
      <c r="A202" s="26" t="s">
        <v>371</v>
      </c>
      <c r="B202" s="369" t="s">
        <v>372</v>
      </c>
      <c r="C202" s="370"/>
      <c r="D202" s="370"/>
      <c r="E202" s="27">
        <v>-2729.37</v>
      </c>
      <c r="F202" s="27">
        <v>0</v>
      </c>
      <c r="H202" s="27">
        <v>0</v>
      </c>
      <c r="J202" s="27">
        <v>-2729.37</v>
      </c>
      <c r="K202" s="25">
        <f t="shared" si="3"/>
        <v>0</v>
      </c>
    </row>
    <row r="203" spans="1:11" ht="15.95" customHeight="1" x14ac:dyDescent="0.2">
      <c r="A203" s="26" t="s">
        <v>373</v>
      </c>
      <c r="B203" s="369" t="s">
        <v>374</v>
      </c>
      <c r="C203" s="370"/>
      <c r="D203" s="370"/>
      <c r="E203" s="27">
        <v>-3898.61</v>
      </c>
      <c r="F203" s="27">
        <v>0</v>
      </c>
      <c r="H203" s="27">
        <v>1349888.48</v>
      </c>
      <c r="J203" s="27">
        <v>-1353787.09</v>
      </c>
      <c r="K203" s="25">
        <f t="shared" si="3"/>
        <v>-1349888.48</v>
      </c>
    </row>
    <row r="204" spans="1:11" ht="15.95" customHeight="1" x14ac:dyDescent="0.2">
      <c r="A204" s="26" t="s">
        <v>375</v>
      </c>
      <c r="B204" s="369" t="s">
        <v>376</v>
      </c>
      <c r="C204" s="370"/>
      <c r="D204" s="370"/>
      <c r="E204" s="27">
        <v>-12754.35</v>
      </c>
      <c r="F204" s="27">
        <v>0</v>
      </c>
      <c r="H204" s="27">
        <v>0</v>
      </c>
      <c r="J204" s="27">
        <v>-12754.35</v>
      </c>
      <c r="K204" s="25">
        <f t="shared" si="3"/>
        <v>0</v>
      </c>
    </row>
    <row r="205" spans="1:11" ht="15.95" customHeight="1" x14ac:dyDescent="0.2">
      <c r="A205" s="26" t="s">
        <v>377</v>
      </c>
      <c r="B205" s="369" t="s">
        <v>378</v>
      </c>
      <c r="C205" s="370"/>
      <c r="D205" s="370"/>
      <c r="E205" s="27">
        <v>-1798587.79</v>
      </c>
      <c r="F205" s="27">
        <v>0</v>
      </c>
      <c r="H205" s="27">
        <v>0</v>
      </c>
      <c r="J205" s="27">
        <v>-1798587.79</v>
      </c>
      <c r="K205" s="25">
        <f t="shared" si="3"/>
        <v>0</v>
      </c>
    </row>
    <row r="206" spans="1:11" ht="15.95" customHeight="1" x14ac:dyDescent="0.2">
      <c r="A206" s="26" t="s">
        <v>379</v>
      </c>
      <c r="B206" s="369" t="s">
        <v>380</v>
      </c>
      <c r="C206" s="370"/>
      <c r="D206" s="370"/>
      <c r="E206" s="27">
        <v>-7928.64</v>
      </c>
      <c r="F206" s="27">
        <v>0</v>
      </c>
      <c r="H206" s="27">
        <v>0</v>
      </c>
      <c r="J206" s="27">
        <v>-7928.64</v>
      </c>
      <c r="K206" s="25">
        <f t="shared" si="3"/>
        <v>0</v>
      </c>
    </row>
    <row r="207" spans="1:11" ht="15.95" customHeight="1" x14ac:dyDescent="0.2">
      <c r="A207" s="26" t="s">
        <v>381</v>
      </c>
      <c r="B207" s="369" t="s">
        <v>382</v>
      </c>
      <c r="C207" s="370"/>
      <c r="D207" s="370"/>
      <c r="E207" s="27">
        <v>-265.91000000000003</v>
      </c>
      <c r="F207" s="27">
        <v>0</v>
      </c>
      <c r="H207" s="27">
        <v>0</v>
      </c>
      <c r="J207" s="27">
        <v>-265.91000000000003</v>
      </c>
      <c r="K207" s="25">
        <f t="shared" si="3"/>
        <v>0</v>
      </c>
    </row>
    <row r="208" spans="1:11" ht="15.95" customHeight="1" x14ac:dyDescent="0.2">
      <c r="A208" s="26" t="s">
        <v>383</v>
      </c>
      <c r="B208" s="369" t="s">
        <v>384</v>
      </c>
      <c r="C208" s="370"/>
      <c r="D208" s="370"/>
      <c r="E208" s="27">
        <v>-87964.72</v>
      </c>
      <c r="F208" s="27">
        <v>0</v>
      </c>
      <c r="H208" s="27">
        <v>0</v>
      </c>
      <c r="J208" s="27">
        <v>-87964.72</v>
      </c>
      <c r="K208" s="25">
        <f t="shared" si="3"/>
        <v>0</v>
      </c>
    </row>
    <row r="209" spans="1:11" ht="15.95" customHeight="1" x14ac:dyDescent="0.2">
      <c r="A209" s="26" t="s">
        <v>385</v>
      </c>
      <c r="B209" s="369" t="s">
        <v>386</v>
      </c>
      <c r="C209" s="370"/>
      <c r="D209" s="370"/>
      <c r="E209" s="27">
        <v>-86928.73</v>
      </c>
      <c r="F209" s="27">
        <v>0</v>
      </c>
      <c r="H209" s="27">
        <v>1221209.32</v>
      </c>
      <c r="J209" s="27">
        <v>-1308138.05</v>
      </c>
      <c r="K209" s="25">
        <f t="shared" si="3"/>
        <v>-1221209.32</v>
      </c>
    </row>
    <row r="210" spans="1:11" ht="15.95" customHeight="1" x14ac:dyDescent="0.2">
      <c r="A210" s="26" t="s">
        <v>387</v>
      </c>
      <c r="B210" s="369" t="s">
        <v>388</v>
      </c>
      <c r="C210" s="370"/>
      <c r="D210" s="370"/>
      <c r="E210" s="27">
        <v>-5840.17</v>
      </c>
      <c r="F210" s="27">
        <v>0</v>
      </c>
      <c r="H210" s="27">
        <v>0</v>
      </c>
      <c r="J210" s="27">
        <v>-5840.17</v>
      </c>
      <c r="K210" s="25">
        <f t="shared" si="3"/>
        <v>0</v>
      </c>
    </row>
    <row r="211" spans="1:11" ht="15.95" customHeight="1" x14ac:dyDescent="0.2">
      <c r="A211" s="26" t="s">
        <v>389</v>
      </c>
      <c r="B211" s="369" t="s">
        <v>390</v>
      </c>
      <c r="C211" s="370"/>
      <c r="D211" s="370"/>
      <c r="E211" s="27">
        <v>-385902.97</v>
      </c>
      <c r="F211" s="27">
        <v>0</v>
      </c>
      <c r="H211" s="27">
        <v>0</v>
      </c>
      <c r="J211" s="27">
        <v>-385902.97</v>
      </c>
      <c r="K211" s="25">
        <f t="shared" si="3"/>
        <v>0</v>
      </c>
    </row>
    <row r="212" spans="1:11" ht="15.95" customHeight="1" x14ac:dyDescent="0.2">
      <c r="A212" s="26" t="s">
        <v>391</v>
      </c>
      <c r="B212" s="369" t="s">
        <v>392</v>
      </c>
      <c r="C212" s="370"/>
      <c r="D212" s="370"/>
      <c r="E212" s="27">
        <v>-17386.990000000002</v>
      </c>
      <c r="F212" s="27">
        <v>0</v>
      </c>
      <c r="H212" s="27">
        <v>0</v>
      </c>
      <c r="J212" s="27">
        <v>-17386.990000000002</v>
      </c>
      <c r="K212" s="25">
        <f t="shared" si="3"/>
        <v>0</v>
      </c>
    </row>
    <row r="213" spans="1:11" ht="15.95" customHeight="1" x14ac:dyDescent="0.2">
      <c r="A213" s="26" t="s">
        <v>393</v>
      </c>
      <c r="B213" s="369" t="s">
        <v>394</v>
      </c>
      <c r="C213" s="370"/>
      <c r="D213" s="370"/>
      <c r="E213" s="27">
        <v>-56188.26</v>
      </c>
      <c r="F213" s="27">
        <v>0</v>
      </c>
      <c r="H213" s="27">
        <v>0</v>
      </c>
      <c r="J213" s="27">
        <v>-56188.26</v>
      </c>
      <c r="K213" s="25">
        <f t="shared" si="3"/>
        <v>0</v>
      </c>
    </row>
    <row r="214" spans="1:11" ht="15.95" customHeight="1" x14ac:dyDescent="0.2">
      <c r="A214" s="26" t="s">
        <v>395</v>
      </c>
      <c r="B214" s="369" t="s">
        <v>396</v>
      </c>
      <c r="C214" s="370"/>
      <c r="D214" s="370"/>
      <c r="E214" s="27">
        <v>-29270.35</v>
      </c>
      <c r="F214" s="27">
        <v>0</v>
      </c>
      <c r="H214" s="27">
        <v>0</v>
      </c>
      <c r="J214" s="27">
        <v>-29270.35</v>
      </c>
      <c r="K214" s="25">
        <f t="shared" si="3"/>
        <v>0</v>
      </c>
    </row>
    <row r="215" spans="1:11" ht="15.95" customHeight="1" x14ac:dyDescent="0.2">
      <c r="A215" s="26" t="s">
        <v>397</v>
      </c>
      <c r="B215" s="369" t="s">
        <v>398</v>
      </c>
      <c r="C215" s="370"/>
      <c r="D215" s="370"/>
      <c r="E215" s="27">
        <v>-63153.62</v>
      </c>
      <c r="F215" s="27">
        <v>0</v>
      </c>
      <c r="H215" s="27">
        <v>169954.18</v>
      </c>
      <c r="J215" s="27">
        <v>-233107.8</v>
      </c>
      <c r="K215" s="25">
        <f t="shared" si="3"/>
        <v>-169954.18</v>
      </c>
    </row>
    <row r="216" spans="1:11" ht="15.95" customHeight="1" x14ac:dyDescent="0.2">
      <c r="A216" s="26">
        <v>12399</v>
      </c>
      <c r="B216" s="369" t="s">
        <v>399</v>
      </c>
      <c r="C216" s="370"/>
      <c r="D216" s="370"/>
      <c r="E216" s="27">
        <v>-80654700.329999998</v>
      </c>
      <c r="F216" s="27">
        <v>1498862.1</v>
      </c>
      <c r="H216" s="27">
        <v>7088277.5199999996</v>
      </c>
      <c r="J216" s="27">
        <v>-86244115.75</v>
      </c>
      <c r="K216" s="25">
        <f t="shared" si="3"/>
        <v>-5589415.4200000018</v>
      </c>
    </row>
    <row r="217" spans="1:11" ht="27.95" customHeight="1" x14ac:dyDescent="0.2">
      <c r="A217" s="26">
        <v>1239901</v>
      </c>
      <c r="B217" s="369" t="s">
        <v>400</v>
      </c>
      <c r="C217" s="370"/>
      <c r="D217" s="370"/>
      <c r="E217" s="27">
        <v>-5544334.4400000004</v>
      </c>
      <c r="F217" s="27">
        <v>0</v>
      </c>
      <c r="H217" s="27">
        <v>597331.81999999995</v>
      </c>
      <c r="J217" s="27">
        <v>-6141666.2599999998</v>
      </c>
      <c r="K217" s="25">
        <f t="shared" si="3"/>
        <v>-597331.81999999937</v>
      </c>
    </row>
    <row r="218" spans="1:11" ht="15.95" customHeight="1" x14ac:dyDescent="0.2">
      <c r="A218" s="26" t="s">
        <v>401</v>
      </c>
      <c r="B218" s="369" t="s">
        <v>277</v>
      </c>
      <c r="C218" s="370"/>
      <c r="D218" s="370"/>
      <c r="E218" s="27">
        <v>-63204.99</v>
      </c>
      <c r="F218" s="27">
        <v>0</v>
      </c>
      <c r="H218" s="27">
        <v>277.2</v>
      </c>
      <c r="J218" s="27">
        <v>-63482.19</v>
      </c>
      <c r="K218" s="25">
        <f t="shared" si="3"/>
        <v>-277.20000000000437</v>
      </c>
    </row>
    <row r="219" spans="1:11" ht="15.95" customHeight="1" x14ac:dyDescent="0.2">
      <c r="A219" s="26" t="s">
        <v>402</v>
      </c>
      <c r="B219" s="369" t="s">
        <v>279</v>
      </c>
      <c r="C219" s="370"/>
      <c r="D219" s="370"/>
      <c r="E219" s="27">
        <v>-12832.06</v>
      </c>
      <c r="F219" s="27">
        <v>0</v>
      </c>
      <c r="H219" s="27">
        <v>0</v>
      </c>
      <c r="J219" s="27">
        <v>-12832.06</v>
      </c>
      <c r="K219" s="25">
        <f t="shared" si="3"/>
        <v>0</v>
      </c>
    </row>
    <row r="220" spans="1:11" ht="15.95" customHeight="1" x14ac:dyDescent="0.2">
      <c r="A220" s="26" t="s">
        <v>403</v>
      </c>
      <c r="B220" s="369" t="s">
        <v>281</v>
      </c>
      <c r="C220" s="370"/>
      <c r="D220" s="370"/>
      <c r="E220" s="27">
        <v>-932954.94</v>
      </c>
      <c r="F220" s="27">
        <v>0</v>
      </c>
      <c r="H220" s="27">
        <v>58274.879999999997</v>
      </c>
      <c r="J220" s="27">
        <v>-991229.82</v>
      </c>
      <c r="K220" s="25">
        <f t="shared" si="3"/>
        <v>-58274.880000000005</v>
      </c>
    </row>
    <row r="221" spans="1:11" ht="15.95" customHeight="1" x14ac:dyDescent="0.2">
      <c r="A221" s="26" t="s">
        <v>404</v>
      </c>
      <c r="B221" s="369" t="s">
        <v>283</v>
      </c>
      <c r="C221" s="370"/>
      <c r="D221" s="370"/>
      <c r="E221" s="27">
        <v>-2033449.65</v>
      </c>
      <c r="F221" s="27">
        <v>0</v>
      </c>
      <c r="H221" s="27">
        <v>484436.52</v>
      </c>
      <c r="J221" s="27">
        <v>-2517886.17</v>
      </c>
      <c r="K221" s="25">
        <f t="shared" si="3"/>
        <v>-484436.52</v>
      </c>
    </row>
    <row r="222" spans="1:11" ht="15.95" customHeight="1" x14ac:dyDescent="0.2">
      <c r="A222" s="26" t="s">
        <v>405</v>
      </c>
      <c r="B222" s="369" t="s">
        <v>285</v>
      </c>
      <c r="C222" s="370"/>
      <c r="D222" s="370"/>
      <c r="E222" s="27">
        <v>-600214.14</v>
      </c>
      <c r="F222" s="27">
        <v>0</v>
      </c>
      <c r="H222" s="27">
        <v>9829.2199999999993</v>
      </c>
      <c r="J222" s="27">
        <v>-610043.36</v>
      </c>
      <c r="K222" s="25">
        <f t="shared" si="3"/>
        <v>-9829.2199999999721</v>
      </c>
    </row>
    <row r="223" spans="1:11" ht="15.95" customHeight="1" x14ac:dyDescent="0.2">
      <c r="A223" s="26" t="s">
        <v>406</v>
      </c>
      <c r="B223" s="369" t="s">
        <v>289</v>
      </c>
      <c r="C223" s="370"/>
      <c r="D223" s="370"/>
      <c r="E223" s="27">
        <v>-1210095.1200000001</v>
      </c>
      <c r="F223" s="27">
        <v>0</v>
      </c>
      <c r="H223" s="27">
        <v>9568.3799999999992</v>
      </c>
      <c r="J223" s="27">
        <v>-1219663.5</v>
      </c>
      <c r="K223" s="25">
        <f t="shared" si="3"/>
        <v>-9568.3799999998882</v>
      </c>
    </row>
    <row r="224" spans="1:11" ht="15.95" customHeight="1" x14ac:dyDescent="0.2">
      <c r="A224" s="26" t="s">
        <v>407</v>
      </c>
      <c r="B224" s="369" t="s">
        <v>287</v>
      </c>
      <c r="C224" s="370"/>
      <c r="D224" s="370"/>
      <c r="E224" s="27">
        <v>-65426.16</v>
      </c>
      <c r="F224" s="27">
        <v>0</v>
      </c>
      <c r="H224" s="27">
        <v>5380.2</v>
      </c>
      <c r="J224" s="27">
        <v>-70806.36</v>
      </c>
      <c r="K224" s="25">
        <f t="shared" si="3"/>
        <v>-5380.1999999999971</v>
      </c>
    </row>
    <row r="225" spans="1:11" ht="15.95" customHeight="1" x14ac:dyDescent="0.2">
      <c r="A225" s="26" t="s">
        <v>408</v>
      </c>
      <c r="B225" s="369" t="s">
        <v>291</v>
      </c>
      <c r="C225" s="370"/>
      <c r="D225" s="370"/>
      <c r="E225" s="27">
        <v>-616628.28</v>
      </c>
      <c r="F225" s="27">
        <v>0</v>
      </c>
      <c r="H225" s="27">
        <v>28919.16</v>
      </c>
      <c r="J225" s="27">
        <v>-645547.43999999994</v>
      </c>
      <c r="K225" s="25">
        <f t="shared" si="3"/>
        <v>-28919.159999999916</v>
      </c>
    </row>
    <row r="226" spans="1:11" ht="15.95" customHeight="1" x14ac:dyDescent="0.2">
      <c r="A226" s="26" t="s">
        <v>409</v>
      </c>
      <c r="B226" s="369" t="s">
        <v>410</v>
      </c>
      <c r="C226" s="370"/>
      <c r="D226" s="370"/>
      <c r="E226" s="27">
        <v>-9529.1</v>
      </c>
      <c r="F226" s="27">
        <v>0</v>
      </c>
      <c r="H226" s="27">
        <v>646.26</v>
      </c>
      <c r="J226" s="27">
        <v>-10175.36</v>
      </c>
      <c r="K226" s="25">
        <f t="shared" si="3"/>
        <v>-646.26000000000022</v>
      </c>
    </row>
    <row r="227" spans="1:11" ht="15.95" customHeight="1" x14ac:dyDescent="0.2">
      <c r="A227" s="26">
        <v>1239902</v>
      </c>
      <c r="B227" s="369" t="s">
        <v>412</v>
      </c>
      <c r="C227" s="370"/>
      <c r="D227" s="370"/>
      <c r="E227" s="27">
        <v>-60198719.740000002</v>
      </c>
      <c r="F227" s="27">
        <v>1113623.3999999999</v>
      </c>
      <c r="H227" s="27">
        <v>1527281.66</v>
      </c>
      <c r="J227" s="27">
        <v>-60612378</v>
      </c>
      <c r="K227" s="25">
        <f t="shared" si="3"/>
        <v>-413658.25999999791</v>
      </c>
    </row>
    <row r="228" spans="1:11" ht="15.95" customHeight="1" x14ac:dyDescent="0.2">
      <c r="A228" s="26" t="s">
        <v>413</v>
      </c>
      <c r="B228" s="369" t="s">
        <v>300</v>
      </c>
      <c r="C228" s="370"/>
      <c r="D228" s="370"/>
      <c r="E228" s="27">
        <v>-6578848.4299999997</v>
      </c>
      <c r="F228" s="27">
        <v>207691.87</v>
      </c>
      <c r="H228" s="27">
        <v>241356.35</v>
      </c>
      <c r="J228" s="27">
        <v>-6612512.9100000001</v>
      </c>
      <c r="K228" s="25">
        <f t="shared" si="3"/>
        <v>-33664.480000000447</v>
      </c>
    </row>
    <row r="229" spans="1:11" ht="15.95" customHeight="1" x14ac:dyDescent="0.2">
      <c r="A229" s="26" t="s">
        <v>414</v>
      </c>
      <c r="B229" s="369" t="s">
        <v>302</v>
      </c>
      <c r="C229" s="370"/>
      <c r="D229" s="370"/>
      <c r="E229" s="27">
        <v>-4450.58</v>
      </c>
      <c r="F229" s="27">
        <v>0</v>
      </c>
      <c r="H229" s="27">
        <v>0</v>
      </c>
      <c r="J229" s="27">
        <v>-4450.58</v>
      </c>
      <c r="K229" s="25">
        <f t="shared" si="3"/>
        <v>0</v>
      </c>
    </row>
    <row r="230" spans="1:11" ht="15.95" customHeight="1" x14ac:dyDescent="0.2">
      <c r="A230" s="26" t="s">
        <v>415</v>
      </c>
      <c r="B230" s="369" t="s">
        <v>304</v>
      </c>
      <c r="C230" s="370"/>
      <c r="D230" s="370"/>
      <c r="E230" s="27">
        <v>-1300291.02</v>
      </c>
      <c r="F230" s="27">
        <v>905931.53</v>
      </c>
      <c r="H230" s="27">
        <v>100345.25</v>
      </c>
      <c r="J230" s="27">
        <v>-494704.74</v>
      </c>
      <c r="K230" s="25">
        <f t="shared" si="3"/>
        <v>805586.28</v>
      </c>
    </row>
    <row r="231" spans="1:11" ht="15.95" customHeight="1" x14ac:dyDescent="0.2">
      <c r="A231" s="26" t="s">
        <v>416</v>
      </c>
      <c r="B231" s="369" t="s">
        <v>306</v>
      </c>
      <c r="C231" s="370"/>
      <c r="D231" s="370"/>
      <c r="E231" s="27">
        <v>-33066566.010000002</v>
      </c>
      <c r="F231" s="27">
        <v>0</v>
      </c>
      <c r="H231" s="27">
        <v>747210.81</v>
      </c>
      <c r="J231" s="27">
        <v>-33813776.82</v>
      </c>
      <c r="K231" s="25">
        <f t="shared" si="3"/>
        <v>-747210.80999999866</v>
      </c>
    </row>
    <row r="232" spans="1:11" ht="15.95" customHeight="1" x14ac:dyDescent="0.2">
      <c r="A232" s="26" t="s">
        <v>417</v>
      </c>
      <c r="B232" s="369" t="s">
        <v>308</v>
      </c>
      <c r="C232" s="370"/>
      <c r="D232" s="370"/>
      <c r="E232" s="27">
        <v>-9551045.0299999993</v>
      </c>
      <c r="F232" s="27">
        <v>0</v>
      </c>
      <c r="H232" s="27">
        <v>57503.14</v>
      </c>
      <c r="J232" s="27">
        <v>-9608548.1699999999</v>
      </c>
      <c r="K232" s="25">
        <f t="shared" si="3"/>
        <v>-57503.140000000596</v>
      </c>
    </row>
    <row r="233" spans="1:11" ht="15.95" customHeight="1" x14ac:dyDescent="0.2">
      <c r="A233" s="26" t="s">
        <v>418</v>
      </c>
      <c r="B233" s="369" t="s">
        <v>310</v>
      </c>
      <c r="C233" s="370"/>
      <c r="D233" s="370"/>
      <c r="E233" s="27">
        <v>-440226.98</v>
      </c>
      <c r="F233" s="27">
        <v>0</v>
      </c>
      <c r="H233" s="27">
        <v>11365.8</v>
      </c>
      <c r="J233" s="27">
        <v>-451592.78</v>
      </c>
      <c r="K233" s="25">
        <f t="shared" si="3"/>
        <v>-11365.800000000047</v>
      </c>
    </row>
    <row r="234" spans="1:11" ht="15.95" customHeight="1" x14ac:dyDescent="0.2">
      <c r="A234" s="26" t="s">
        <v>419</v>
      </c>
      <c r="B234" s="369" t="s">
        <v>312</v>
      </c>
      <c r="C234" s="370"/>
      <c r="D234" s="370"/>
      <c r="E234" s="27">
        <v>-95202.46</v>
      </c>
      <c r="F234" s="27">
        <v>0</v>
      </c>
      <c r="H234" s="27">
        <v>0</v>
      </c>
      <c r="J234" s="27">
        <v>-95202.46</v>
      </c>
      <c r="K234" s="25">
        <f t="shared" si="3"/>
        <v>0</v>
      </c>
    </row>
    <row r="235" spans="1:11" ht="15.95" customHeight="1" x14ac:dyDescent="0.2">
      <c r="A235" s="26" t="s">
        <v>420</v>
      </c>
      <c r="B235" s="369" t="s">
        <v>316</v>
      </c>
      <c r="C235" s="370"/>
      <c r="D235" s="370"/>
      <c r="E235" s="27">
        <v>-5355122.28</v>
      </c>
      <c r="F235" s="27">
        <v>0</v>
      </c>
      <c r="H235" s="27">
        <v>209742.84</v>
      </c>
      <c r="J235" s="27">
        <v>-5564865.1200000001</v>
      </c>
      <c r="K235" s="25">
        <f t="shared" si="3"/>
        <v>-209742.83999999985</v>
      </c>
    </row>
    <row r="236" spans="1:11" ht="15.95" customHeight="1" x14ac:dyDescent="0.2">
      <c r="A236" s="26" t="s">
        <v>421</v>
      </c>
      <c r="B236" s="369" t="s">
        <v>318</v>
      </c>
      <c r="C236" s="370"/>
      <c r="D236" s="370"/>
      <c r="E236" s="27">
        <v>-905338.24</v>
      </c>
      <c r="F236" s="27">
        <v>0</v>
      </c>
      <c r="H236" s="27">
        <v>0</v>
      </c>
      <c r="J236" s="27">
        <v>-905338.24</v>
      </c>
      <c r="K236" s="25">
        <f t="shared" si="3"/>
        <v>0</v>
      </c>
    </row>
    <row r="237" spans="1:11" ht="15.95" customHeight="1" x14ac:dyDescent="0.2">
      <c r="A237" s="26" t="s">
        <v>422</v>
      </c>
      <c r="B237" s="369" t="s">
        <v>320</v>
      </c>
      <c r="C237" s="370"/>
      <c r="D237" s="370"/>
      <c r="E237" s="27">
        <v>-350775.54</v>
      </c>
      <c r="F237" s="27">
        <v>0</v>
      </c>
      <c r="H237" s="27">
        <v>24212.91</v>
      </c>
      <c r="J237" s="27">
        <v>-374988.45</v>
      </c>
      <c r="K237" s="25">
        <f t="shared" si="3"/>
        <v>-24212.910000000033</v>
      </c>
    </row>
    <row r="238" spans="1:11" ht="15.95" customHeight="1" x14ac:dyDescent="0.2">
      <c r="A238" s="26" t="s">
        <v>423</v>
      </c>
      <c r="B238" s="369" t="s">
        <v>322</v>
      </c>
      <c r="C238" s="370"/>
      <c r="D238" s="370"/>
      <c r="E238" s="27">
        <v>-123943.43</v>
      </c>
      <c r="F238" s="27">
        <v>0</v>
      </c>
      <c r="H238" s="27">
        <v>0</v>
      </c>
      <c r="J238" s="27">
        <v>-123943.43</v>
      </c>
      <c r="K238" s="25">
        <f t="shared" si="3"/>
        <v>0</v>
      </c>
    </row>
    <row r="239" spans="1:11" ht="15.95" customHeight="1" x14ac:dyDescent="0.2">
      <c r="A239" s="26" t="s">
        <v>424</v>
      </c>
      <c r="B239" s="369" t="s">
        <v>425</v>
      </c>
      <c r="C239" s="370"/>
      <c r="D239" s="370"/>
      <c r="E239" s="27">
        <v>-13925.73</v>
      </c>
      <c r="F239" s="27">
        <v>0</v>
      </c>
      <c r="H239" s="27">
        <v>0</v>
      </c>
      <c r="J239" s="27">
        <v>-13925.73</v>
      </c>
      <c r="K239" s="25">
        <f t="shared" si="3"/>
        <v>0</v>
      </c>
    </row>
    <row r="240" spans="1:11" ht="15.95" customHeight="1" x14ac:dyDescent="0.2">
      <c r="A240" s="26" t="s">
        <v>426</v>
      </c>
      <c r="B240" s="369" t="s">
        <v>427</v>
      </c>
      <c r="C240" s="370"/>
      <c r="D240" s="370"/>
      <c r="E240" s="27">
        <v>-1970.82</v>
      </c>
      <c r="F240" s="27">
        <v>0</v>
      </c>
      <c r="H240" s="27">
        <v>0</v>
      </c>
      <c r="J240" s="27">
        <v>-1970.82</v>
      </c>
      <c r="K240" s="25">
        <f t="shared" si="3"/>
        <v>0</v>
      </c>
    </row>
    <row r="241" spans="1:11" ht="15.95" customHeight="1" x14ac:dyDescent="0.2">
      <c r="A241" s="26" t="s">
        <v>428</v>
      </c>
      <c r="B241" s="369" t="s">
        <v>429</v>
      </c>
      <c r="C241" s="370"/>
      <c r="D241" s="370"/>
      <c r="E241" s="27">
        <v>-421500.65</v>
      </c>
      <c r="F241" s="27">
        <v>0</v>
      </c>
      <c r="H241" s="27">
        <v>21035.040000000001</v>
      </c>
      <c r="J241" s="27">
        <v>-442535.69</v>
      </c>
      <c r="K241" s="25">
        <f t="shared" si="3"/>
        <v>-21035.039999999979</v>
      </c>
    </row>
    <row r="242" spans="1:11" ht="15.95" customHeight="1" x14ac:dyDescent="0.2">
      <c r="A242" s="26" t="s">
        <v>430</v>
      </c>
      <c r="B242" s="369" t="s">
        <v>431</v>
      </c>
      <c r="C242" s="370"/>
      <c r="D242" s="370"/>
      <c r="E242" s="27">
        <v>-1103943.46</v>
      </c>
      <c r="F242" s="27">
        <v>0</v>
      </c>
      <c r="H242" s="27">
        <v>18544.919999999998</v>
      </c>
      <c r="J242" s="27">
        <v>-1122488.3799999999</v>
      </c>
      <c r="K242" s="25">
        <f t="shared" si="3"/>
        <v>-18544.919999999925</v>
      </c>
    </row>
    <row r="243" spans="1:11" ht="15.95" customHeight="1" x14ac:dyDescent="0.2">
      <c r="A243" s="26" t="s">
        <v>432</v>
      </c>
      <c r="B243" s="369" t="s">
        <v>336</v>
      </c>
      <c r="C243" s="370"/>
      <c r="D243" s="370"/>
      <c r="E243" s="27">
        <v>-885569.08</v>
      </c>
      <c r="F243" s="27">
        <v>0</v>
      </c>
      <c r="H243" s="27">
        <v>78195.149999999994</v>
      </c>
      <c r="J243" s="27">
        <v>-963764.23</v>
      </c>
      <c r="K243" s="25">
        <f t="shared" si="3"/>
        <v>-78195.150000000023</v>
      </c>
    </row>
    <row r="244" spans="1:11" ht="15.95" customHeight="1" x14ac:dyDescent="0.2">
      <c r="A244" s="26" t="s">
        <v>433</v>
      </c>
      <c r="B244" s="369" t="s">
        <v>338</v>
      </c>
      <c r="C244" s="370"/>
      <c r="D244" s="370"/>
      <c r="E244" s="27">
        <v>0</v>
      </c>
      <c r="F244" s="27">
        <v>0</v>
      </c>
      <c r="H244" s="27">
        <v>17769.45</v>
      </c>
      <c r="J244" s="27">
        <v>-17769.45</v>
      </c>
      <c r="K244" s="25">
        <f t="shared" si="3"/>
        <v>-17769.45</v>
      </c>
    </row>
    <row r="245" spans="1:11" ht="15.95" customHeight="1" x14ac:dyDescent="0.2">
      <c r="A245" s="26">
        <v>1239903</v>
      </c>
      <c r="B245" s="369" t="s">
        <v>434</v>
      </c>
      <c r="C245" s="370"/>
      <c r="D245" s="370"/>
      <c r="E245" s="27">
        <v>5763425.5899999999</v>
      </c>
      <c r="F245" s="27">
        <v>385238.7</v>
      </c>
      <c r="H245" s="27">
        <v>0</v>
      </c>
      <c r="J245" s="27">
        <v>6148664.29</v>
      </c>
      <c r="K245" s="25">
        <f t="shared" si="3"/>
        <v>385238.70000000019</v>
      </c>
    </row>
    <row r="246" spans="1:11" ht="15.95" customHeight="1" x14ac:dyDescent="0.2">
      <c r="A246" s="26" t="s">
        <v>435</v>
      </c>
      <c r="B246" s="369" t="s">
        <v>300</v>
      </c>
      <c r="C246" s="370"/>
      <c r="D246" s="370"/>
      <c r="E246" s="27">
        <v>1371149.47</v>
      </c>
      <c r="F246" s="27">
        <v>117122.69</v>
      </c>
      <c r="H246" s="27">
        <v>0</v>
      </c>
      <c r="J246" s="27">
        <v>1488272.16</v>
      </c>
      <c r="K246" s="25">
        <f t="shared" si="3"/>
        <v>117122.68999999994</v>
      </c>
    </row>
    <row r="247" spans="1:11" ht="15.95" customHeight="1" x14ac:dyDescent="0.2">
      <c r="A247" s="26" t="s">
        <v>436</v>
      </c>
      <c r="B247" s="369" t="s">
        <v>304</v>
      </c>
      <c r="C247" s="370"/>
      <c r="D247" s="370"/>
      <c r="E247" s="27">
        <v>107014.75</v>
      </c>
      <c r="F247" s="27">
        <v>18850.75</v>
      </c>
      <c r="H247" s="27">
        <v>0</v>
      </c>
      <c r="J247" s="27">
        <v>125865.5</v>
      </c>
      <c r="K247" s="25">
        <f t="shared" si="3"/>
        <v>18850.75</v>
      </c>
    </row>
    <row r="248" spans="1:11" ht="15.95" customHeight="1" x14ac:dyDescent="0.2">
      <c r="A248" s="26" t="s">
        <v>437</v>
      </c>
      <c r="B248" s="369" t="s">
        <v>306</v>
      </c>
      <c r="C248" s="370"/>
      <c r="D248" s="370"/>
      <c r="E248" s="27">
        <v>4269610.88</v>
      </c>
      <c r="F248" s="27">
        <v>249265.26</v>
      </c>
      <c r="H248" s="27">
        <v>0</v>
      </c>
      <c r="J248" s="27">
        <v>4518876.1399999997</v>
      </c>
      <c r="K248" s="25">
        <f t="shared" si="3"/>
        <v>249265.25999999978</v>
      </c>
    </row>
    <row r="249" spans="1:11" ht="15.95" customHeight="1" x14ac:dyDescent="0.2">
      <c r="A249" s="26" t="s">
        <v>438</v>
      </c>
      <c r="B249" s="369" t="s">
        <v>318</v>
      </c>
      <c r="C249" s="370"/>
      <c r="D249" s="370"/>
      <c r="E249" s="27">
        <v>15650.49</v>
      </c>
      <c r="F249" s="27">
        <v>0</v>
      </c>
      <c r="H249" s="27">
        <v>0</v>
      </c>
      <c r="J249" s="27">
        <v>15650.49</v>
      </c>
      <c r="K249" s="25">
        <f t="shared" si="3"/>
        <v>0</v>
      </c>
    </row>
    <row r="250" spans="1:11" ht="15.95" customHeight="1" x14ac:dyDescent="0.2">
      <c r="A250" s="26">
        <v>1239904</v>
      </c>
      <c r="B250" s="369" t="s">
        <v>439</v>
      </c>
      <c r="C250" s="370"/>
      <c r="D250" s="370"/>
      <c r="E250" s="27">
        <v>-20675071.739999998</v>
      </c>
      <c r="F250" s="27">
        <v>0</v>
      </c>
      <c r="H250" s="27">
        <v>4963664.04</v>
      </c>
      <c r="J250" s="27">
        <v>-25638735.780000001</v>
      </c>
      <c r="K250" s="25">
        <f t="shared" si="3"/>
        <v>-4963664.0400000028</v>
      </c>
    </row>
    <row r="251" spans="1:11" ht="15.95" customHeight="1" x14ac:dyDescent="0.2">
      <c r="A251" s="26" t="s">
        <v>440</v>
      </c>
      <c r="B251" s="369" t="s">
        <v>441</v>
      </c>
      <c r="C251" s="370"/>
      <c r="D251" s="370"/>
      <c r="E251" s="27">
        <v>-19324779.989999998</v>
      </c>
      <c r="F251" s="27">
        <v>0</v>
      </c>
      <c r="H251" s="27">
        <v>4639594.0199999996</v>
      </c>
      <c r="J251" s="27">
        <v>-23964374.010000002</v>
      </c>
      <c r="K251" s="25">
        <f t="shared" si="3"/>
        <v>-4639594.0200000033</v>
      </c>
    </row>
    <row r="252" spans="1:11" ht="15.95" customHeight="1" x14ac:dyDescent="0.2">
      <c r="A252" s="26" t="s">
        <v>442</v>
      </c>
      <c r="B252" s="369" t="s">
        <v>443</v>
      </c>
      <c r="C252" s="370"/>
      <c r="D252" s="370"/>
      <c r="E252" s="27">
        <v>-227912.5</v>
      </c>
      <c r="F252" s="27">
        <v>0</v>
      </c>
      <c r="H252" s="27">
        <v>54699</v>
      </c>
      <c r="J252" s="27">
        <v>-282611.5</v>
      </c>
      <c r="K252" s="25">
        <f t="shared" si="3"/>
        <v>-54699</v>
      </c>
    </row>
    <row r="253" spans="1:11" ht="15.95" customHeight="1" x14ac:dyDescent="0.2">
      <c r="A253" s="26" t="s">
        <v>444</v>
      </c>
      <c r="B253" s="369" t="s">
        <v>355</v>
      </c>
      <c r="C253" s="370"/>
      <c r="D253" s="370"/>
      <c r="E253" s="27">
        <v>-736053.25</v>
      </c>
      <c r="F253" s="27">
        <v>0</v>
      </c>
      <c r="H253" s="27">
        <v>176652.78</v>
      </c>
      <c r="J253" s="27">
        <v>-912706.03</v>
      </c>
      <c r="K253" s="25">
        <f t="shared" si="3"/>
        <v>-176652.78000000003</v>
      </c>
    </row>
    <row r="254" spans="1:11" ht="15.95" customHeight="1" x14ac:dyDescent="0.2">
      <c r="A254" s="26" t="s">
        <v>445</v>
      </c>
      <c r="B254" s="369" t="s">
        <v>357</v>
      </c>
      <c r="C254" s="370"/>
      <c r="D254" s="370"/>
      <c r="E254" s="27">
        <v>-2787.5</v>
      </c>
      <c r="F254" s="27">
        <v>0</v>
      </c>
      <c r="H254" s="27">
        <v>669</v>
      </c>
      <c r="J254" s="27">
        <v>-3456.5</v>
      </c>
      <c r="K254" s="25">
        <f t="shared" si="3"/>
        <v>-669</v>
      </c>
    </row>
    <row r="255" spans="1:11" ht="15.95" customHeight="1" x14ac:dyDescent="0.2">
      <c r="A255" s="26" t="s">
        <v>446</v>
      </c>
      <c r="B255" s="369" t="s">
        <v>447</v>
      </c>
      <c r="C255" s="370"/>
      <c r="D255" s="370"/>
      <c r="E255" s="27">
        <v>-383538.5</v>
      </c>
      <c r="F255" s="27">
        <v>0</v>
      </c>
      <c r="H255" s="27">
        <v>92049.24</v>
      </c>
      <c r="J255" s="27">
        <v>-475587.74</v>
      </c>
      <c r="K255" s="25">
        <f t="shared" si="3"/>
        <v>-92049.239999999991</v>
      </c>
    </row>
    <row r="256" spans="1:11" ht="15.95" customHeight="1" x14ac:dyDescent="0.2">
      <c r="A256" s="26">
        <v>124</v>
      </c>
      <c r="B256" s="369" t="s">
        <v>448</v>
      </c>
      <c r="C256" s="370"/>
      <c r="D256" s="370"/>
      <c r="E256" s="27">
        <v>2190000</v>
      </c>
      <c r="F256" s="27">
        <v>0</v>
      </c>
      <c r="H256" s="27">
        <v>628297.85</v>
      </c>
      <c r="J256" s="27">
        <v>1561702.15</v>
      </c>
      <c r="K256" s="25">
        <f t="shared" si="3"/>
        <v>-628297.85000000009</v>
      </c>
    </row>
    <row r="257" spans="1:11" ht="15.95" customHeight="1" x14ac:dyDescent="0.2">
      <c r="A257" s="28">
        <v>12401</v>
      </c>
      <c r="B257" s="371" t="s">
        <v>448</v>
      </c>
      <c r="C257" s="372"/>
      <c r="D257" s="372"/>
      <c r="E257" s="29">
        <v>7519654.9800000004</v>
      </c>
      <c r="F257" s="29">
        <v>0</v>
      </c>
      <c r="G257" s="30"/>
      <c r="H257" s="29">
        <v>0</v>
      </c>
      <c r="I257" s="30"/>
      <c r="J257" s="29">
        <v>7519654.9800000004</v>
      </c>
      <c r="K257" s="31">
        <f t="shared" si="3"/>
        <v>0</v>
      </c>
    </row>
    <row r="258" spans="1:11" ht="15.95" customHeight="1" x14ac:dyDescent="0.2">
      <c r="A258" s="26">
        <v>1240101</v>
      </c>
      <c r="B258" s="369" t="s">
        <v>448</v>
      </c>
      <c r="C258" s="370"/>
      <c r="D258" s="370"/>
      <c r="E258" s="27">
        <v>7519654.9800000004</v>
      </c>
      <c r="F258" s="27">
        <v>0</v>
      </c>
      <c r="H258" s="27">
        <v>0</v>
      </c>
      <c r="J258" s="27">
        <v>7519654.9800000004</v>
      </c>
      <c r="K258" s="25">
        <f t="shared" si="3"/>
        <v>0</v>
      </c>
    </row>
    <row r="259" spans="1:11" ht="15.95" customHeight="1" x14ac:dyDescent="0.2">
      <c r="A259" s="26" t="s">
        <v>449</v>
      </c>
      <c r="B259" s="369" t="s">
        <v>450</v>
      </c>
      <c r="C259" s="370"/>
      <c r="D259" s="370"/>
      <c r="E259" s="27">
        <v>7519654.9800000004</v>
      </c>
      <c r="F259" s="27">
        <v>0</v>
      </c>
      <c r="H259" s="27">
        <v>0</v>
      </c>
      <c r="J259" s="27">
        <v>7519654.9800000004</v>
      </c>
      <c r="K259" s="25">
        <f t="shared" ref="K259:K322" si="4">J259-E259</f>
        <v>0</v>
      </c>
    </row>
    <row r="260" spans="1:11" ht="15.95" customHeight="1" x14ac:dyDescent="0.2">
      <c r="A260" s="26">
        <v>12499</v>
      </c>
      <c r="B260" s="369" t="s">
        <v>451</v>
      </c>
      <c r="C260" s="370"/>
      <c r="D260" s="370"/>
      <c r="E260" s="27">
        <v>-5329654.9800000004</v>
      </c>
      <c r="F260" s="27">
        <v>0</v>
      </c>
      <c r="H260" s="27">
        <v>628297.85</v>
      </c>
      <c r="J260" s="27">
        <v>-5957952.8300000001</v>
      </c>
      <c r="K260" s="25">
        <f t="shared" si="4"/>
        <v>-628297.84999999963</v>
      </c>
    </row>
    <row r="261" spans="1:11" ht="15.95" customHeight="1" x14ac:dyDescent="0.2">
      <c r="A261" s="26">
        <v>1249901</v>
      </c>
      <c r="B261" s="369" t="s">
        <v>451</v>
      </c>
      <c r="C261" s="370"/>
      <c r="D261" s="370"/>
      <c r="E261" s="27">
        <v>-5328125.7</v>
      </c>
      <c r="F261" s="27">
        <v>0</v>
      </c>
      <c r="H261" s="27">
        <v>628297.85</v>
      </c>
      <c r="J261" s="27">
        <v>-5956423.5499999998</v>
      </c>
      <c r="K261" s="25">
        <f t="shared" si="4"/>
        <v>-628297.84999999963</v>
      </c>
    </row>
    <row r="262" spans="1:11" ht="15.95" customHeight="1" x14ac:dyDescent="0.2">
      <c r="A262" s="26" t="s">
        <v>452</v>
      </c>
      <c r="B262" s="369" t="s">
        <v>450</v>
      </c>
      <c r="C262" s="370"/>
      <c r="D262" s="370"/>
      <c r="E262" s="27">
        <v>-5328125.7</v>
      </c>
      <c r="F262" s="27">
        <v>0</v>
      </c>
      <c r="H262" s="27">
        <v>628297.85</v>
      </c>
      <c r="J262" s="27">
        <v>-5956423.5499999998</v>
      </c>
      <c r="K262" s="25">
        <f t="shared" si="4"/>
        <v>-628297.84999999963</v>
      </c>
    </row>
    <row r="263" spans="1:11" ht="15.95" customHeight="1" x14ac:dyDescent="0.2">
      <c r="A263" s="26">
        <v>1249902</v>
      </c>
      <c r="B263" s="369" t="s">
        <v>453</v>
      </c>
      <c r="C263" s="370"/>
      <c r="D263" s="370"/>
      <c r="E263" s="27">
        <v>-1529.28</v>
      </c>
      <c r="F263" s="27">
        <v>0</v>
      </c>
      <c r="H263" s="27">
        <v>0</v>
      </c>
      <c r="J263" s="27">
        <v>-1529.28</v>
      </c>
      <c r="K263" s="25">
        <f t="shared" si="4"/>
        <v>0</v>
      </c>
    </row>
    <row r="264" spans="1:11" ht="15.95" customHeight="1" x14ac:dyDescent="0.2">
      <c r="A264" s="26" t="s">
        <v>454</v>
      </c>
      <c r="B264" s="369" t="s">
        <v>453</v>
      </c>
      <c r="C264" s="370"/>
      <c r="D264" s="370"/>
      <c r="E264" s="27">
        <v>-1529.28</v>
      </c>
      <c r="F264" s="27">
        <v>0</v>
      </c>
      <c r="H264" s="27">
        <v>0</v>
      </c>
      <c r="J264" s="27">
        <v>-1529.28</v>
      </c>
      <c r="K264" s="25">
        <f t="shared" si="4"/>
        <v>0</v>
      </c>
    </row>
    <row r="265" spans="1:11" ht="15.95" customHeight="1" x14ac:dyDescent="0.2">
      <c r="A265" s="26">
        <v>13</v>
      </c>
      <c r="B265" s="369" t="s">
        <v>455</v>
      </c>
      <c r="C265" s="370"/>
      <c r="D265" s="370"/>
      <c r="E265" s="27">
        <v>1236717.49</v>
      </c>
      <c r="F265" s="27">
        <v>0</v>
      </c>
      <c r="H265" s="27">
        <v>0</v>
      </c>
      <c r="J265" s="27">
        <v>1236717.49</v>
      </c>
      <c r="K265" s="25">
        <f t="shared" si="4"/>
        <v>0</v>
      </c>
    </row>
    <row r="266" spans="1:11" ht="15.95" customHeight="1" x14ac:dyDescent="0.2">
      <c r="A266" s="26">
        <v>131</v>
      </c>
      <c r="B266" s="369" t="s">
        <v>456</v>
      </c>
      <c r="C266" s="370"/>
      <c r="D266" s="370"/>
      <c r="E266" s="27">
        <v>1236717.49</v>
      </c>
      <c r="F266" s="27">
        <v>0</v>
      </c>
      <c r="H266" s="27">
        <v>0</v>
      </c>
      <c r="J266" s="27">
        <v>1236717.49</v>
      </c>
      <c r="K266" s="25">
        <f t="shared" si="4"/>
        <v>0</v>
      </c>
    </row>
    <row r="267" spans="1:11" ht="15.95" customHeight="1" x14ac:dyDescent="0.2">
      <c r="A267" s="26">
        <v>13101</v>
      </c>
      <c r="B267" s="369" t="s">
        <v>344</v>
      </c>
      <c r="C267" s="370"/>
      <c r="D267" s="370"/>
      <c r="E267" s="27">
        <v>1236717.49</v>
      </c>
      <c r="F267" s="27">
        <v>0</v>
      </c>
      <c r="H267" s="27">
        <v>0</v>
      </c>
      <c r="J267" s="27">
        <v>1236717.49</v>
      </c>
      <c r="K267" s="25">
        <f t="shared" si="4"/>
        <v>0</v>
      </c>
    </row>
    <row r="268" spans="1:11" ht="15.95" customHeight="1" x14ac:dyDescent="0.2">
      <c r="A268" s="26">
        <v>1310101</v>
      </c>
      <c r="B268" s="369" t="s">
        <v>457</v>
      </c>
      <c r="C268" s="370"/>
      <c r="D268" s="370"/>
      <c r="E268" s="27">
        <v>1236717.49</v>
      </c>
      <c r="F268" s="27">
        <v>0</v>
      </c>
      <c r="H268" s="27">
        <v>0</v>
      </c>
      <c r="J268" s="27">
        <v>1236717.49</v>
      </c>
      <c r="K268" s="25">
        <f t="shared" si="4"/>
        <v>0</v>
      </c>
    </row>
    <row r="269" spans="1:11" ht="15.95" customHeight="1" x14ac:dyDescent="0.2">
      <c r="A269" s="26" t="s">
        <v>458</v>
      </c>
      <c r="B269" s="369" t="s">
        <v>459</v>
      </c>
      <c r="C269" s="370"/>
      <c r="D269" s="370"/>
      <c r="E269" s="27">
        <v>1236717.49</v>
      </c>
      <c r="F269" s="27">
        <v>0</v>
      </c>
      <c r="H269" s="27">
        <v>0</v>
      </c>
      <c r="J269" s="27">
        <v>1236717.49</v>
      </c>
      <c r="K269" s="25">
        <f t="shared" si="4"/>
        <v>0</v>
      </c>
    </row>
    <row r="270" spans="1:11" ht="15.95" customHeight="1" x14ac:dyDescent="0.2">
      <c r="A270" s="26">
        <v>2</v>
      </c>
      <c r="B270" s="369" t="s">
        <v>460</v>
      </c>
      <c r="C270" s="370"/>
      <c r="D270" s="370"/>
      <c r="E270" s="27">
        <v>-337159374.25999999</v>
      </c>
      <c r="F270" s="27">
        <v>114501945.2</v>
      </c>
      <c r="H270" s="27">
        <v>98154346.409999996</v>
      </c>
      <c r="J270" s="27">
        <v>-320811775.47000003</v>
      </c>
      <c r="K270" s="25">
        <f t="shared" si="4"/>
        <v>16347598.789999962</v>
      </c>
    </row>
    <row r="271" spans="1:11" ht="27.95" customHeight="1" x14ac:dyDescent="0.2">
      <c r="A271" s="26">
        <v>21</v>
      </c>
      <c r="B271" s="369" t="s">
        <v>461</v>
      </c>
      <c r="C271" s="370"/>
      <c r="D271" s="370"/>
      <c r="E271" s="27">
        <v>-16440110.85</v>
      </c>
      <c r="F271" s="27">
        <v>38293689.079999998</v>
      </c>
      <c r="H271" s="27">
        <v>36883174.210000001</v>
      </c>
      <c r="J271" s="27">
        <v>-15029595.98</v>
      </c>
      <c r="K271" s="25">
        <f t="shared" si="4"/>
        <v>1410514.8699999992</v>
      </c>
    </row>
    <row r="272" spans="1:11" ht="15.95" customHeight="1" x14ac:dyDescent="0.2">
      <c r="A272" s="28">
        <v>211</v>
      </c>
      <c r="B272" s="371" t="s">
        <v>462</v>
      </c>
      <c r="C272" s="372"/>
      <c r="D272" s="372"/>
      <c r="E272" s="29">
        <v>-3566348.28</v>
      </c>
      <c r="F272" s="29">
        <v>15432479.27</v>
      </c>
      <c r="G272" s="30"/>
      <c r="H272" s="29">
        <v>14408342.25</v>
      </c>
      <c r="I272" s="30"/>
      <c r="J272" s="29">
        <v>-2542211.2599999998</v>
      </c>
      <c r="K272" s="31">
        <f t="shared" si="4"/>
        <v>1024137.02</v>
      </c>
    </row>
    <row r="273" spans="1:11" ht="15.95" customHeight="1" x14ac:dyDescent="0.2">
      <c r="A273" s="26">
        <v>21101</v>
      </c>
      <c r="B273" s="369" t="s">
        <v>462</v>
      </c>
      <c r="C273" s="370"/>
      <c r="D273" s="370"/>
      <c r="E273" s="27">
        <v>-3566348.28</v>
      </c>
      <c r="F273" s="27">
        <v>15432479.27</v>
      </c>
      <c r="H273" s="27">
        <v>14408342.25</v>
      </c>
      <c r="J273" s="27">
        <v>-2542211.2599999998</v>
      </c>
      <c r="K273" s="25">
        <f t="shared" si="4"/>
        <v>1024137.02</v>
      </c>
    </row>
    <row r="274" spans="1:11" ht="15.95" customHeight="1" x14ac:dyDescent="0.2">
      <c r="A274" s="26">
        <v>2110101</v>
      </c>
      <c r="B274" s="369" t="s">
        <v>463</v>
      </c>
      <c r="C274" s="370"/>
      <c r="D274" s="370"/>
      <c r="E274" s="27">
        <v>-3161666.4</v>
      </c>
      <c r="F274" s="27">
        <v>13328296.710000001</v>
      </c>
      <c r="H274" s="27">
        <v>12327907.789999999</v>
      </c>
      <c r="J274" s="27">
        <v>-2161277.48</v>
      </c>
      <c r="K274" s="25">
        <f t="shared" si="4"/>
        <v>1000388.9199999999</v>
      </c>
    </row>
    <row r="275" spans="1:11" ht="15.95" customHeight="1" x14ac:dyDescent="0.2">
      <c r="A275" s="26" t="s">
        <v>464</v>
      </c>
      <c r="B275" s="369" t="s">
        <v>465</v>
      </c>
      <c r="C275" s="370"/>
      <c r="D275" s="370"/>
      <c r="E275" s="27">
        <v>-72694.399999999994</v>
      </c>
      <c r="F275" s="27">
        <v>352399.32</v>
      </c>
      <c r="H275" s="27">
        <v>451149.24</v>
      </c>
      <c r="J275" s="27">
        <v>-171444.32</v>
      </c>
      <c r="K275" s="25">
        <f t="shared" si="4"/>
        <v>-98749.920000000013</v>
      </c>
    </row>
    <row r="276" spans="1:11" ht="15.95" customHeight="1" x14ac:dyDescent="0.2">
      <c r="A276" s="26" t="s">
        <v>466</v>
      </c>
      <c r="B276" s="369" t="s">
        <v>467</v>
      </c>
      <c r="C276" s="370"/>
      <c r="D276" s="370"/>
      <c r="E276" s="27">
        <v>-1008457.32</v>
      </c>
      <c r="F276" s="27">
        <v>2769448.17</v>
      </c>
      <c r="H276" s="27">
        <v>2026460.95</v>
      </c>
      <c r="J276" s="27">
        <v>-265470.09999999998</v>
      </c>
      <c r="K276" s="25">
        <f t="shared" si="4"/>
        <v>742987.22</v>
      </c>
    </row>
    <row r="277" spans="1:11" ht="15.95" customHeight="1" x14ac:dyDescent="0.2">
      <c r="A277" s="26" t="s">
        <v>468</v>
      </c>
      <c r="B277" s="369" t="s">
        <v>469</v>
      </c>
      <c r="C277" s="370"/>
      <c r="D277" s="370"/>
      <c r="E277" s="27">
        <v>-4246.2700000000004</v>
      </c>
      <c r="F277" s="27">
        <v>13405.49</v>
      </c>
      <c r="H277" s="27">
        <v>10908.61</v>
      </c>
      <c r="J277" s="27">
        <v>-1749.39</v>
      </c>
      <c r="K277" s="25">
        <f t="shared" si="4"/>
        <v>2496.88</v>
      </c>
    </row>
    <row r="278" spans="1:11" ht="15.95" customHeight="1" x14ac:dyDescent="0.2">
      <c r="A278" s="26" t="s">
        <v>470</v>
      </c>
      <c r="B278" s="369" t="s">
        <v>471</v>
      </c>
      <c r="C278" s="370"/>
      <c r="D278" s="370"/>
      <c r="E278" s="27">
        <v>-6464.94</v>
      </c>
      <c r="F278" s="27">
        <v>86752.09</v>
      </c>
      <c r="H278" s="27">
        <v>80287.149999999994</v>
      </c>
      <c r="J278" s="27">
        <v>0</v>
      </c>
      <c r="K278" s="25">
        <f t="shared" si="4"/>
        <v>6464.94</v>
      </c>
    </row>
    <row r="279" spans="1:11" ht="15.95" customHeight="1" x14ac:dyDescent="0.2">
      <c r="A279" s="26" t="s">
        <v>1487</v>
      </c>
      <c r="B279" s="369" t="s">
        <v>1488</v>
      </c>
      <c r="C279" s="370"/>
      <c r="D279" s="370"/>
      <c r="E279" s="27">
        <v>-82859.820000000007</v>
      </c>
      <c r="F279" s="27">
        <v>172259.82</v>
      </c>
      <c r="H279" s="27">
        <v>89400</v>
      </c>
      <c r="J279" s="27">
        <v>0</v>
      </c>
      <c r="K279" s="25">
        <f t="shared" si="4"/>
        <v>82859.820000000007</v>
      </c>
    </row>
    <row r="280" spans="1:11" ht="15.95" customHeight="1" x14ac:dyDescent="0.2">
      <c r="A280" s="26" t="s">
        <v>472</v>
      </c>
      <c r="B280" s="369" t="s">
        <v>473</v>
      </c>
      <c r="C280" s="370"/>
      <c r="D280" s="370"/>
      <c r="E280" s="27">
        <v>0</v>
      </c>
      <c r="F280" s="27">
        <v>34105.279999999999</v>
      </c>
      <c r="H280" s="27">
        <v>36562.11</v>
      </c>
      <c r="J280" s="27">
        <v>-2456.83</v>
      </c>
      <c r="K280" s="25">
        <f t="shared" si="4"/>
        <v>-2456.83</v>
      </c>
    </row>
    <row r="281" spans="1:11" ht="15.95" customHeight="1" x14ac:dyDescent="0.2">
      <c r="A281" s="26" t="s">
        <v>474</v>
      </c>
      <c r="B281" s="369" t="s">
        <v>475</v>
      </c>
      <c r="C281" s="370"/>
      <c r="D281" s="370"/>
      <c r="E281" s="27">
        <v>0</v>
      </c>
      <c r="F281" s="27">
        <v>5038.26</v>
      </c>
      <c r="H281" s="27">
        <v>10076.52</v>
      </c>
      <c r="J281" s="27">
        <v>-5038.26</v>
      </c>
      <c r="K281" s="25">
        <f t="shared" si="4"/>
        <v>-5038.26</v>
      </c>
    </row>
    <row r="282" spans="1:11" ht="15.95" customHeight="1" x14ac:dyDescent="0.2">
      <c r="A282" s="26" t="s">
        <v>476</v>
      </c>
      <c r="B282" s="369" t="s">
        <v>477</v>
      </c>
      <c r="C282" s="370"/>
      <c r="D282" s="370"/>
      <c r="E282" s="27">
        <v>0</v>
      </c>
      <c r="F282" s="27">
        <v>7152.75</v>
      </c>
      <c r="H282" s="27">
        <v>8745</v>
      </c>
      <c r="J282" s="27">
        <v>-1592.25</v>
      </c>
      <c r="K282" s="25">
        <f t="shared" si="4"/>
        <v>-1592.25</v>
      </c>
    </row>
    <row r="283" spans="1:11" ht="15.95" customHeight="1" x14ac:dyDescent="0.2">
      <c r="A283" s="26" t="s">
        <v>1489</v>
      </c>
      <c r="B283" s="369" t="s">
        <v>1490</v>
      </c>
      <c r="C283" s="370"/>
      <c r="D283" s="370"/>
      <c r="E283" s="27">
        <v>0</v>
      </c>
      <c r="F283" s="27">
        <v>33125</v>
      </c>
      <c r="H283" s="27">
        <v>33125</v>
      </c>
      <c r="J283" s="27">
        <v>0</v>
      </c>
      <c r="K283" s="25">
        <f t="shared" si="4"/>
        <v>0</v>
      </c>
    </row>
    <row r="284" spans="1:11" ht="15.95" customHeight="1" x14ac:dyDescent="0.2">
      <c r="A284" s="26" t="s">
        <v>1491</v>
      </c>
      <c r="B284" s="369" t="s">
        <v>1492</v>
      </c>
      <c r="C284" s="370"/>
      <c r="D284" s="370"/>
      <c r="E284" s="27">
        <v>-333069.58</v>
      </c>
      <c r="F284" s="27">
        <v>986978.77</v>
      </c>
      <c r="H284" s="27">
        <v>736590.26</v>
      </c>
      <c r="J284" s="27">
        <v>-82681.070000000007</v>
      </c>
      <c r="K284" s="25">
        <f t="shared" si="4"/>
        <v>250388.51</v>
      </c>
    </row>
    <row r="285" spans="1:11" ht="15.95" customHeight="1" x14ac:dyDescent="0.2">
      <c r="A285" s="26" t="s">
        <v>1493</v>
      </c>
      <c r="B285" s="369" t="s">
        <v>1494</v>
      </c>
      <c r="C285" s="370"/>
      <c r="D285" s="370"/>
      <c r="E285" s="27">
        <v>-43091.42</v>
      </c>
      <c r="F285" s="27">
        <v>43091.42</v>
      </c>
      <c r="H285" s="27">
        <v>0</v>
      </c>
      <c r="J285" s="27">
        <v>0</v>
      </c>
      <c r="K285" s="25">
        <f t="shared" si="4"/>
        <v>43091.42</v>
      </c>
    </row>
    <row r="286" spans="1:11" ht="15.95" customHeight="1" x14ac:dyDescent="0.2">
      <c r="A286" s="26" t="s">
        <v>478</v>
      </c>
      <c r="B286" s="369" t="s">
        <v>479</v>
      </c>
      <c r="C286" s="370"/>
      <c r="D286" s="370"/>
      <c r="E286" s="27">
        <v>0</v>
      </c>
      <c r="F286" s="27">
        <v>11451.8</v>
      </c>
      <c r="H286" s="27">
        <v>11451.8</v>
      </c>
      <c r="J286" s="27">
        <v>0</v>
      </c>
      <c r="K286" s="25">
        <f t="shared" si="4"/>
        <v>0</v>
      </c>
    </row>
    <row r="287" spans="1:11" ht="15.95" customHeight="1" x14ac:dyDescent="0.2">
      <c r="A287" s="26" t="s">
        <v>480</v>
      </c>
      <c r="B287" s="369" t="s">
        <v>481</v>
      </c>
      <c r="C287" s="370"/>
      <c r="D287" s="370"/>
      <c r="E287" s="27">
        <v>0</v>
      </c>
      <c r="F287" s="27">
        <v>4817.3599999999997</v>
      </c>
      <c r="H287" s="27">
        <v>6900</v>
      </c>
      <c r="J287" s="27">
        <v>-2082.64</v>
      </c>
      <c r="K287" s="25">
        <f t="shared" si="4"/>
        <v>-2082.64</v>
      </c>
    </row>
    <row r="288" spans="1:11" ht="15.95" customHeight="1" x14ac:dyDescent="0.2">
      <c r="A288" s="26" t="s">
        <v>1595</v>
      </c>
      <c r="B288" s="369" t="s">
        <v>1596</v>
      </c>
      <c r="C288" s="370"/>
      <c r="D288" s="370"/>
      <c r="E288" s="27">
        <v>0</v>
      </c>
      <c r="F288" s="27">
        <v>848.06</v>
      </c>
      <c r="H288" s="27">
        <v>848.06</v>
      </c>
      <c r="J288" s="27">
        <v>0</v>
      </c>
      <c r="K288" s="25">
        <f t="shared" si="4"/>
        <v>0</v>
      </c>
    </row>
    <row r="289" spans="1:11" ht="15.95" customHeight="1" x14ac:dyDescent="0.2">
      <c r="A289" s="26" t="s">
        <v>1495</v>
      </c>
      <c r="B289" s="369" t="s">
        <v>1496</v>
      </c>
      <c r="C289" s="370"/>
      <c r="D289" s="370"/>
      <c r="E289" s="27">
        <v>0</v>
      </c>
      <c r="F289" s="27">
        <v>10336.629999999999</v>
      </c>
      <c r="H289" s="27">
        <v>10336.629999999999</v>
      </c>
      <c r="J289" s="27">
        <v>0</v>
      </c>
      <c r="K289" s="25">
        <f t="shared" si="4"/>
        <v>0</v>
      </c>
    </row>
    <row r="290" spans="1:11" ht="15.95" customHeight="1" x14ac:dyDescent="0.2">
      <c r="A290" s="26" t="s">
        <v>482</v>
      </c>
      <c r="B290" s="369" t="s">
        <v>483</v>
      </c>
      <c r="C290" s="370"/>
      <c r="D290" s="370"/>
      <c r="E290" s="27">
        <v>0</v>
      </c>
      <c r="F290" s="27">
        <v>30766.25</v>
      </c>
      <c r="H290" s="27">
        <v>30766.25</v>
      </c>
      <c r="J290" s="27">
        <v>0</v>
      </c>
      <c r="K290" s="25">
        <f t="shared" si="4"/>
        <v>0</v>
      </c>
    </row>
    <row r="291" spans="1:11" ht="15.95" customHeight="1" x14ac:dyDescent="0.2">
      <c r="A291" s="26" t="s">
        <v>484</v>
      </c>
      <c r="B291" s="369" t="s">
        <v>485</v>
      </c>
      <c r="C291" s="370"/>
      <c r="D291" s="370"/>
      <c r="E291" s="27">
        <v>0</v>
      </c>
      <c r="F291" s="27">
        <v>6323.21</v>
      </c>
      <c r="H291" s="27">
        <v>6323.21</v>
      </c>
      <c r="J291" s="27">
        <v>0</v>
      </c>
      <c r="K291" s="25">
        <f t="shared" si="4"/>
        <v>0</v>
      </c>
    </row>
    <row r="292" spans="1:11" ht="15.95" customHeight="1" x14ac:dyDescent="0.2">
      <c r="A292" s="26" t="s">
        <v>486</v>
      </c>
      <c r="B292" s="369" t="s">
        <v>487</v>
      </c>
      <c r="C292" s="370"/>
      <c r="D292" s="370"/>
      <c r="E292" s="27">
        <v>0</v>
      </c>
      <c r="F292" s="27">
        <v>4340.82</v>
      </c>
      <c r="H292" s="27">
        <v>4340.82</v>
      </c>
      <c r="J292" s="27">
        <v>0</v>
      </c>
      <c r="K292" s="25">
        <f t="shared" si="4"/>
        <v>0</v>
      </c>
    </row>
    <row r="293" spans="1:11" ht="15.95" customHeight="1" x14ac:dyDescent="0.2">
      <c r="A293" s="26" t="s">
        <v>488</v>
      </c>
      <c r="B293" s="369" t="s">
        <v>489</v>
      </c>
      <c r="C293" s="370"/>
      <c r="D293" s="370"/>
      <c r="E293" s="27">
        <v>-129078.55</v>
      </c>
      <c r="F293" s="27">
        <v>769138.67</v>
      </c>
      <c r="H293" s="27">
        <v>640060.12</v>
      </c>
      <c r="J293" s="27">
        <v>0</v>
      </c>
      <c r="K293" s="25">
        <f t="shared" si="4"/>
        <v>129078.55</v>
      </c>
    </row>
    <row r="294" spans="1:11" ht="15.95" customHeight="1" x14ac:dyDescent="0.2">
      <c r="A294" s="26" t="s">
        <v>490</v>
      </c>
      <c r="B294" s="369" t="s">
        <v>491</v>
      </c>
      <c r="C294" s="370"/>
      <c r="D294" s="370"/>
      <c r="E294" s="27">
        <v>0</v>
      </c>
      <c r="F294" s="27">
        <v>15573.81</v>
      </c>
      <c r="H294" s="27">
        <v>18351.73</v>
      </c>
      <c r="J294" s="27">
        <v>-2777.92</v>
      </c>
      <c r="K294" s="25">
        <f t="shared" si="4"/>
        <v>-2777.92</v>
      </c>
    </row>
    <row r="295" spans="1:11" ht="15.95" customHeight="1" x14ac:dyDescent="0.2">
      <c r="A295" s="26" t="s">
        <v>492</v>
      </c>
      <c r="B295" s="369" t="s">
        <v>493</v>
      </c>
      <c r="C295" s="370"/>
      <c r="D295" s="370"/>
      <c r="E295" s="27">
        <v>0</v>
      </c>
      <c r="F295" s="27">
        <v>149.12</v>
      </c>
      <c r="H295" s="27">
        <v>149.12</v>
      </c>
      <c r="J295" s="27">
        <v>0</v>
      </c>
      <c r="K295" s="25">
        <f t="shared" si="4"/>
        <v>0</v>
      </c>
    </row>
    <row r="296" spans="1:11" ht="15.95" customHeight="1" x14ac:dyDescent="0.2">
      <c r="A296" s="26" t="s">
        <v>494</v>
      </c>
      <c r="B296" s="369" t="s">
        <v>495</v>
      </c>
      <c r="C296" s="370"/>
      <c r="D296" s="370"/>
      <c r="E296" s="27">
        <v>0</v>
      </c>
      <c r="F296" s="27">
        <v>746.09</v>
      </c>
      <c r="H296" s="27">
        <v>746.09</v>
      </c>
      <c r="J296" s="27">
        <v>0</v>
      </c>
      <c r="K296" s="25">
        <f t="shared" si="4"/>
        <v>0</v>
      </c>
    </row>
    <row r="297" spans="1:11" ht="15.95" customHeight="1" x14ac:dyDescent="0.2">
      <c r="A297" s="26" t="s">
        <v>496</v>
      </c>
      <c r="B297" s="369" t="s">
        <v>497</v>
      </c>
      <c r="C297" s="370"/>
      <c r="D297" s="370"/>
      <c r="E297" s="27">
        <v>-119502.26</v>
      </c>
      <c r="F297" s="27">
        <v>0</v>
      </c>
      <c r="H297" s="27">
        <v>0</v>
      </c>
      <c r="J297" s="27">
        <v>-119502.26</v>
      </c>
      <c r="K297" s="25">
        <f t="shared" si="4"/>
        <v>0</v>
      </c>
    </row>
    <row r="298" spans="1:11" ht="15.95" customHeight="1" x14ac:dyDescent="0.2">
      <c r="A298" s="26" t="s">
        <v>498</v>
      </c>
      <c r="B298" s="369" t="s">
        <v>499</v>
      </c>
      <c r="C298" s="370"/>
      <c r="D298" s="370"/>
      <c r="E298" s="27">
        <v>-1095.99</v>
      </c>
      <c r="F298" s="27">
        <v>7358.35</v>
      </c>
      <c r="H298" s="27">
        <v>7441.25</v>
      </c>
      <c r="J298" s="27">
        <v>-1178.8900000000001</v>
      </c>
      <c r="K298" s="25">
        <f t="shared" si="4"/>
        <v>-82.900000000000091</v>
      </c>
    </row>
    <row r="299" spans="1:11" ht="15.95" customHeight="1" x14ac:dyDescent="0.2">
      <c r="A299" s="26" t="s">
        <v>500</v>
      </c>
      <c r="B299" s="369" t="s">
        <v>501</v>
      </c>
      <c r="C299" s="370"/>
      <c r="D299" s="370"/>
      <c r="E299" s="27">
        <v>0</v>
      </c>
      <c r="F299" s="27">
        <v>12050.96</v>
      </c>
      <c r="H299" s="27">
        <v>12050.96</v>
      </c>
      <c r="J299" s="27">
        <v>0</v>
      </c>
      <c r="K299" s="25">
        <f t="shared" si="4"/>
        <v>0</v>
      </c>
    </row>
    <row r="300" spans="1:11" ht="15.95" customHeight="1" x14ac:dyDescent="0.2">
      <c r="A300" s="26" t="s">
        <v>1497</v>
      </c>
      <c r="B300" s="369" t="s">
        <v>1498</v>
      </c>
      <c r="C300" s="370"/>
      <c r="D300" s="370"/>
      <c r="E300" s="27">
        <v>-254415.56</v>
      </c>
      <c r="F300" s="27">
        <v>0</v>
      </c>
      <c r="H300" s="27">
        <v>0</v>
      </c>
      <c r="J300" s="27">
        <v>-254415.56</v>
      </c>
      <c r="K300" s="25">
        <f t="shared" si="4"/>
        <v>0</v>
      </c>
    </row>
    <row r="301" spans="1:11" ht="15.95" customHeight="1" x14ac:dyDescent="0.2">
      <c r="A301" s="26" t="s">
        <v>502</v>
      </c>
      <c r="B301" s="369" t="s">
        <v>503</v>
      </c>
      <c r="C301" s="370"/>
      <c r="D301" s="370"/>
      <c r="E301" s="27">
        <v>0</v>
      </c>
      <c r="F301" s="27">
        <v>1320332.31</v>
      </c>
      <c r="H301" s="27">
        <v>1383486.62</v>
      </c>
      <c r="J301" s="27">
        <v>-63154.31</v>
      </c>
      <c r="K301" s="25">
        <f t="shared" si="4"/>
        <v>-63154.31</v>
      </c>
    </row>
    <row r="302" spans="1:11" ht="15.95" customHeight="1" x14ac:dyDescent="0.2">
      <c r="A302" s="26" t="s">
        <v>504</v>
      </c>
      <c r="B302" s="369" t="s">
        <v>505</v>
      </c>
      <c r="C302" s="370"/>
      <c r="D302" s="370"/>
      <c r="E302" s="27">
        <v>-3169.28</v>
      </c>
      <c r="F302" s="27">
        <v>22475.360000000001</v>
      </c>
      <c r="H302" s="27">
        <v>22482.48</v>
      </c>
      <c r="J302" s="27">
        <v>-3176.4</v>
      </c>
      <c r="K302" s="25">
        <f t="shared" si="4"/>
        <v>-7.1199999999998909</v>
      </c>
    </row>
    <row r="303" spans="1:11" ht="15.95" customHeight="1" x14ac:dyDescent="0.2">
      <c r="A303" s="26" t="s">
        <v>506</v>
      </c>
      <c r="B303" s="369" t="s">
        <v>507</v>
      </c>
      <c r="C303" s="370"/>
      <c r="D303" s="370"/>
      <c r="E303" s="27">
        <v>-6.69</v>
      </c>
      <c r="F303" s="27">
        <v>750048.41</v>
      </c>
      <c r="H303" s="27">
        <v>750041.72</v>
      </c>
      <c r="J303" s="27">
        <v>0</v>
      </c>
      <c r="K303" s="25">
        <f t="shared" si="4"/>
        <v>6.69</v>
      </c>
    </row>
    <row r="304" spans="1:11" ht="15.95" customHeight="1" x14ac:dyDescent="0.2">
      <c r="A304" s="26" t="s">
        <v>510</v>
      </c>
      <c r="B304" s="369" t="s">
        <v>511</v>
      </c>
      <c r="C304" s="370"/>
      <c r="D304" s="370"/>
      <c r="E304" s="27">
        <v>-331002</v>
      </c>
      <c r="F304" s="27">
        <v>717403.75</v>
      </c>
      <c r="H304" s="27">
        <v>586600</v>
      </c>
      <c r="J304" s="27">
        <v>-200198.25</v>
      </c>
      <c r="K304" s="25">
        <f t="shared" si="4"/>
        <v>130803.75</v>
      </c>
    </row>
    <row r="305" spans="1:11" ht="15.95" customHeight="1" x14ac:dyDescent="0.2">
      <c r="A305" s="26" t="s">
        <v>1499</v>
      </c>
      <c r="B305" s="369" t="s">
        <v>1500</v>
      </c>
      <c r="C305" s="370"/>
      <c r="D305" s="370"/>
      <c r="E305" s="27">
        <v>0</v>
      </c>
      <c r="F305" s="27">
        <v>33557.08</v>
      </c>
      <c r="H305" s="27">
        <v>35169.53</v>
      </c>
      <c r="J305" s="27">
        <v>-1612.45</v>
      </c>
      <c r="K305" s="25">
        <f t="shared" si="4"/>
        <v>-1612.45</v>
      </c>
    </row>
    <row r="306" spans="1:11" ht="15.95" customHeight="1" x14ac:dyDescent="0.2">
      <c r="A306" s="26" t="s">
        <v>512</v>
      </c>
      <c r="B306" s="369" t="s">
        <v>513</v>
      </c>
      <c r="C306" s="370"/>
      <c r="D306" s="370"/>
      <c r="E306" s="27">
        <v>-1606.1</v>
      </c>
      <c r="F306" s="27">
        <v>0</v>
      </c>
      <c r="H306" s="27">
        <v>0</v>
      </c>
      <c r="J306" s="27">
        <v>-1606.1</v>
      </c>
      <c r="K306" s="25">
        <f t="shared" si="4"/>
        <v>0</v>
      </c>
    </row>
    <row r="307" spans="1:11" ht="15.95" customHeight="1" x14ac:dyDescent="0.2">
      <c r="A307" s="26" t="s">
        <v>1501</v>
      </c>
      <c r="B307" s="369" t="s">
        <v>1502</v>
      </c>
      <c r="C307" s="370"/>
      <c r="D307" s="370"/>
      <c r="E307" s="27">
        <v>0</v>
      </c>
      <c r="F307" s="27">
        <v>17341.79</v>
      </c>
      <c r="H307" s="27">
        <v>17341.79</v>
      </c>
      <c r="J307" s="27">
        <v>0</v>
      </c>
      <c r="K307" s="25">
        <f t="shared" si="4"/>
        <v>0</v>
      </c>
    </row>
    <row r="308" spans="1:11" ht="15.95" customHeight="1" x14ac:dyDescent="0.2">
      <c r="A308" s="26" t="s">
        <v>1503</v>
      </c>
      <c r="B308" s="369" t="s">
        <v>1504</v>
      </c>
      <c r="C308" s="370"/>
      <c r="D308" s="370"/>
      <c r="E308" s="27">
        <v>-427.72</v>
      </c>
      <c r="F308" s="27">
        <v>1468.72</v>
      </c>
      <c r="H308" s="27">
        <v>1041</v>
      </c>
      <c r="J308" s="27">
        <v>0</v>
      </c>
      <c r="K308" s="25">
        <f t="shared" si="4"/>
        <v>427.72</v>
      </c>
    </row>
    <row r="309" spans="1:11" ht="15.95" customHeight="1" x14ac:dyDescent="0.2">
      <c r="A309" s="26" t="s">
        <v>1597</v>
      </c>
      <c r="B309" s="369" t="s">
        <v>1598</v>
      </c>
      <c r="C309" s="370"/>
      <c r="D309" s="370"/>
      <c r="E309" s="27">
        <v>0</v>
      </c>
      <c r="F309" s="27">
        <v>5245.2</v>
      </c>
      <c r="H309" s="27">
        <v>5245.2</v>
      </c>
      <c r="J309" s="27">
        <v>0</v>
      </c>
      <c r="K309" s="25">
        <f t="shared" si="4"/>
        <v>0</v>
      </c>
    </row>
    <row r="310" spans="1:11" ht="15.95" customHeight="1" x14ac:dyDescent="0.2">
      <c r="A310" s="26" t="s">
        <v>514</v>
      </c>
      <c r="B310" s="369" t="s">
        <v>515</v>
      </c>
      <c r="C310" s="370"/>
      <c r="D310" s="370"/>
      <c r="E310" s="27">
        <v>-66899.520000000004</v>
      </c>
      <c r="F310" s="27">
        <v>243182.83</v>
      </c>
      <c r="H310" s="27">
        <v>176283.31</v>
      </c>
      <c r="J310" s="27">
        <v>0</v>
      </c>
      <c r="K310" s="25">
        <f t="shared" si="4"/>
        <v>66899.520000000004</v>
      </c>
    </row>
    <row r="311" spans="1:11" ht="15.95" customHeight="1" x14ac:dyDescent="0.2">
      <c r="A311" s="26" t="s">
        <v>516</v>
      </c>
      <c r="B311" s="369" t="s">
        <v>517</v>
      </c>
      <c r="C311" s="370"/>
      <c r="D311" s="370"/>
      <c r="E311" s="27">
        <v>-6121.35</v>
      </c>
      <c r="F311" s="27">
        <v>0</v>
      </c>
      <c r="H311" s="27">
        <v>0</v>
      </c>
      <c r="J311" s="27">
        <v>-6121.35</v>
      </c>
      <c r="K311" s="25">
        <f t="shared" si="4"/>
        <v>0</v>
      </c>
    </row>
    <row r="312" spans="1:11" ht="15.95" customHeight="1" x14ac:dyDescent="0.2">
      <c r="A312" s="26" t="s">
        <v>518</v>
      </c>
      <c r="B312" s="369" t="s">
        <v>519</v>
      </c>
      <c r="C312" s="370"/>
      <c r="D312" s="370"/>
      <c r="E312" s="27">
        <v>-336097.33</v>
      </c>
      <c r="F312" s="27">
        <v>0</v>
      </c>
      <c r="H312" s="27">
        <v>0</v>
      </c>
      <c r="J312" s="27">
        <v>-336097.33</v>
      </c>
      <c r="K312" s="25">
        <f t="shared" si="4"/>
        <v>0</v>
      </c>
    </row>
    <row r="313" spans="1:11" ht="15.95" customHeight="1" x14ac:dyDescent="0.2">
      <c r="A313" s="26" t="s">
        <v>1505</v>
      </c>
      <c r="B313" s="369" t="s">
        <v>1506</v>
      </c>
      <c r="C313" s="370"/>
      <c r="D313" s="370"/>
      <c r="E313" s="27">
        <v>0</v>
      </c>
      <c r="F313" s="27">
        <v>4465.08</v>
      </c>
      <c r="H313" s="27">
        <v>4465.08</v>
      </c>
      <c r="J313" s="27">
        <v>0</v>
      </c>
      <c r="K313" s="25">
        <f t="shared" si="4"/>
        <v>0</v>
      </c>
    </row>
    <row r="314" spans="1:11" ht="15.95" customHeight="1" x14ac:dyDescent="0.2">
      <c r="A314" s="26" t="s">
        <v>1507</v>
      </c>
      <c r="B314" s="369" t="s">
        <v>1508</v>
      </c>
      <c r="C314" s="370"/>
      <c r="D314" s="370"/>
      <c r="E314" s="27">
        <v>0</v>
      </c>
      <c r="F314" s="27">
        <v>1410</v>
      </c>
      <c r="H314" s="27">
        <v>1410</v>
      </c>
      <c r="J314" s="27">
        <v>0</v>
      </c>
      <c r="K314" s="25">
        <f t="shared" si="4"/>
        <v>0</v>
      </c>
    </row>
    <row r="315" spans="1:11" ht="15.95" customHeight="1" x14ac:dyDescent="0.2">
      <c r="A315" s="26" t="s">
        <v>520</v>
      </c>
      <c r="B315" s="369" t="s">
        <v>521</v>
      </c>
      <c r="C315" s="370"/>
      <c r="D315" s="370"/>
      <c r="E315" s="27">
        <v>-179657.48</v>
      </c>
      <c r="F315" s="27">
        <v>152045.48000000001</v>
      </c>
      <c r="H315" s="27">
        <v>0</v>
      </c>
      <c r="J315" s="27">
        <v>-27612</v>
      </c>
      <c r="K315" s="25">
        <f t="shared" si="4"/>
        <v>152045.48000000001</v>
      </c>
    </row>
    <row r="316" spans="1:11" ht="15.95" customHeight="1" x14ac:dyDescent="0.2">
      <c r="A316" s="26" t="s">
        <v>522</v>
      </c>
      <c r="B316" s="369" t="s">
        <v>523</v>
      </c>
      <c r="C316" s="370"/>
      <c r="D316" s="370"/>
      <c r="E316" s="27">
        <v>-5515.14</v>
      </c>
      <c r="F316" s="27">
        <v>48529.26</v>
      </c>
      <c r="H316" s="27">
        <v>48855.77</v>
      </c>
      <c r="J316" s="27">
        <v>-5841.65</v>
      </c>
      <c r="K316" s="25">
        <f t="shared" si="4"/>
        <v>-326.50999999999931</v>
      </c>
    </row>
    <row r="317" spans="1:11" ht="15.95" customHeight="1" x14ac:dyDescent="0.2">
      <c r="A317" s="26" t="s">
        <v>524</v>
      </c>
      <c r="B317" s="369" t="s">
        <v>525</v>
      </c>
      <c r="C317" s="370"/>
      <c r="D317" s="370"/>
      <c r="E317" s="27">
        <v>0</v>
      </c>
      <c r="F317" s="27">
        <v>650164.67000000004</v>
      </c>
      <c r="H317" s="27">
        <v>650164.67000000004</v>
      </c>
      <c r="J317" s="27">
        <v>0</v>
      </c>
      <c r="K317" s="25">
        <f t="shared" si="4"/>
        <v>0</v>
      </c>
    </row>
    <row r="318" spans="1:11" ht="15.95" customHeight="1" x14ac:dyDescent="0.2">
      <c r="A318" s="26" t="s">
        <v>1509</v>
      </c>
      <c r="B318" s="369" t="s">
        <v>1510</v>
      </c>
      <c r="C318" s="370"/>
      <c r="D318" s="370"/>
      <c r="E318" s="27">
        <v>0</v>
      </c>
      <c r="F318" s="27">
        <v>440</v>
      </c>
      <c r="H318" s="27">
        <v>440</v>
      </c>
      <c r="J318" s="27">
        <v>0</v>
      </c>
      <c r="K318" s="25">
        <f t="shared" si="4"/>
        <v>0</v>
      </c>
    </row>
    <row r="319" spans="1:11" ht="15.95" customHeight="1" x14ac:dyDescent="0.2">
      <c r="A319" s="26" t="s">
        <v>526</v>
      </c>
      <c r="B319" s="369" t="s">
        <v>527</v>
      </c>
      <c r="C319" s="370"/>
      <c r="D319" s="370"/>
      <c r="E319" s="27">
        <v>-943.19</v>
      </c>
      <c r="F319" s="27">
        <v>1836.28</v>
      </c>
      <c r="H319" s="27">
        <v>893.09</v>
      </c>
      <c r="J319" s="27">
        <v>0</v>
      </c>
      <c r="K319" s="25">
        <f t="shared" si="4"/>
        <v>943.19</v>
      </c>
    </row>
    <row r="320" spans="1:11" ht="15.95" customHeight="1" x14ac:dyDescent="0.2">
      <c r="A320" s="26" t="s">
        <v>528</v>
      </c>
      <c r="B320" s="369" t="s">
        <v>529</v>
      </c>
      <c r="C320" s="370"/>
      <c r="D320" s="370"/>
      <c r="E320" s="27">
        <v>0</v>
      </c>
      <c r="F320" s="27">
        <v>1704</v>
      </c>
      <c r="H320" s="27">
        <v>1704</v>
      </c>
      <c r="J320" s="27">
        <v>0</v>
      </c>
      <c r="K320" s="25">
        <f t="shared" si="4"/>
        <v>0</v>
      </c>
    </row>
    <row r="321" spans="1:11" ht="15.95" customHeight="1" x14ac:dyDescent="0.2">
      <c r="A321" s="26" t="s">
        <v>530</v>
      </c>
      <c r="B321" s="369" t="s">
        <v>531</v>
      </c>
      <c r="C321" s="370"/>
      <c r="D321" s="370"/>
      <c r="E321" s="27">
        <v>-30222.15</v>
      </c>
      <c r="F321" s="27">
        <v>166971.54</v>
      </c>
      <c r="H321" s="27">
        <v>152008.9</v>
      </c>
      <c r="J321" s="27">
        <v>-15259.51</v>
      </c>
      <c r="K321" s="25">
        <f t="shared" si="4"/>
        <v>14962.640000000001</v>
      </c>
    </row>
    <row r="322" spans="1:11" ht="15.95" customHeight="1" x14ac:dyDescent="0.2">
      <c r="A322" s="26" t="s">
        <v>1511</v>
      </c>
      <c r="B322" s="369" t="s">
        <v>1512</v>
      </c>
      <c r="C322" s="370"/>
      <c r="D322" s="370"/>
      <c r="E322" s="27">
        <v>0</v>
      </c>
      <c r="F322" s="27">
        <v>46865.4</v>
      </c>
      <c r="H322" s="27">
        <v>46865.4</v>
      </c>
      <c r="J322" s="27">
        <v>0</v>
      </c>
      <c r="K322" s="25">
        <f t="shared" si="4"/>
        <v>0</v>
      </c>
    </row>
    <row r="323" spans="1:11" ht="15.95" customHeight="1" x14ac:dyDescent="0.2">
      <c r="A323" s="26" t="s">
        <v>532</v>
      </c>
      <c r="B323" s="369" t="s">
        <v>533</v>
      </c>
      <c r="C323" s="370"/>
      <c r="D323" s="370"/>
      <c r="E323" s="27">
        <v>-1886.04</v>
      </c>
      <c r="F323" s="27">
        <v>12297.97</v>
      </c>
      <c r="H323" s="27">
        <v>12014.24</v>
      </c>
      <c r="J323" s="27">
        <v>-1602.31</v>
      </c>
      <c r="K323" s="25">
        <f t="shared" ref="K323:K386" si="5">J323-E323</f>
        <v>283.73</v>
      </c>
    </row>
    <row r="324" spans="1:11" ht="15.95" customHeight="1" x14ac:dyDescent="0.2">
      <c r="A324" s="26" t="s">
        <v>534</v>
      </c>
      <c r="B324" s="369" t="s">
        <v>535</v>
      </c>
      <c r="C324" s="370"/>
      <c r="D324" s="370"/>
      <c r="E324" s="27">
        <v>0</v>
      </c>
      <c r="F324" s="27">
        <v>1540999.54</v>
      </c>
      <c r="H324" s="27">
        <v>1598454.61</v>
      </c>
      <c r="J324" s="27">
        <v>-57455.07</v>
      </c>
      <c r="K324" s="25">
        <f t="shared" si="5"/>
        <v>-57455.07</v>
      </c>
    </row>
    <row r="325" spans="1:11" ht="27.95" customHeight="1" x14ac:dyDescent="0.2">
      <c r="A325" s="26" t="s">
        <v>1513</v>
      </c>
      <c r="B325" s="369" t="s">
        <v>1514</v>
      </c>
      <c r="C325" s="370"/>
      <c r="D325" s="370"/>
      <c r="E325" s="27">
        <v>0</v>
      </c>
      <c r="F325" s="27">
        <v>15495.21</v>
      </c>
      <c r="H325" s="27">
        <v>15495.21</v>
      </c>
      <c r="J325" s="27">
        <v>0</v>
      </c>
      <c r="K325" s="25">
        <f t="shared" si="5"/>
        <v>0</v>
      </c>
    </row>
    <row r="326" spans="1:11" ht="15.95" customHeight="1" x14ac:dyDescent="0.2">
      <c r="A326" s="26" t="s">
        <v>536</v>
      </c>
      <c r="B326" s="369" t="s">
        <v>537</v>
      </c>
      <c r="C326" s="370"/>
      <c r="D326" s="370"/>
      <c r="E326" s="27">
        <v>0</v>
      </c>
      <c r="F326" s="27">
        <v>78540.600000000006</v>
      </c>
      <c r="H326" s="27">
        <v>78540.600000000006</v>
      </c>
      <c r="J326" s="27">
        <v>0</v>
      </c>
      <c r="K326" s="25">
        <f t="shared" si="5"/>
        <v>0</v>
      </c>
    </row>
    <row r="327" spans="1:11" ht="15.95" customHeight="1" x14ac:dyDescent="0.2">
      <c r="A327" s="26" t="s">
        <v>538</v>
      </c>
      <c r="B327" s="369" t="s">
        <v>539</v>
      </c>
      <c r="C327" s="370"/>
      <c r="D327" s="370"/>
      <c r="E327" s="27">
        <v>-1235</v>
      </c>
      <c r="F327" s="27">
        <v>7735</v>
      </c>
      <c r="H327" s="27">
        <v>6500</v>
      </c>
      <c r="J327" s="27">
        <v>0</v>
      </c>
      <c r="K327" s="25">
        <f t="shared" si="5"/>
        <v>1235</v>
      </c>
    </row>
    <row r="328" spans="1:11" ht="15.95" customHeight="1" x14ac:dyDescent="0.2">
      <c r="A328" s="26" t="s">
        <v>540</v>
      </c>
      <c r="B328" s="369" t="s">
        <v>541</v>
      </c>
      <c r="C328" s="370"/>
      <c r="D328" s="370"/>
      <c r="E328" s="27">
        <v>-99496.55</v>
      </c>
      <c r="F328" s="27">
        <v>0</v>
      </c>
      <c r="H328" s="27">
        <v>0</v>
      </c>
      <c r="J328" s="27">
        <v>-99496.55</v>
      </c>
      <c r="K328" s="25">
        <f t="shared" si="5"/>
        <v>0</v>
      </c>
    </row>
    <row r="329" spans="1:11" ht="15.95" customHeight="1" x14ac:dyDescent="0.2">
      <c r="A329" s="26" t="s">
        <v>1515</v>
      </c>
      <c r="B329" s="369" t="s">
        <v>1516</v>
      </c>
      <c r="C329" s="370"/>
      <c r="D329" s="370"/>
      <c r="E329" s="27">
        <v>0</v>
      </c>
      <c r="F329" s="27">
        <v>799178.26</v>
      </c>
      <c r="H329" s="27">
        <v>1213530.51</v>
      </c>
      <c r="J329" s="27">
        <v>-414352.25</v>
      </c>
      <c r="K329" s="25">
        <f t="shared" si="5"/>
        <v>-414352.25</v>
      </c>
    </row>
    <row r="330" spans="1:11" ht="15.95" customHeight="1" x14ac:dyDescent="0.2">
      <c r="A330" s="26" t="s">
        <v>542</v>
      </c>
      <c r="B330" s="369" t="s">
        <v>543</v>
      </c>
      <c r="C330" s="370"/>
      <c r="D330" s="370"/>
      <c r="E330" s="27">
        <v>0</v>
      </c>
      <c r="F330" s="27">
        <v>375348</v>
      </c>
      <c r="H330" s="27">
        <v>375348</v>
      </c>
      <c r="J330" s="27">
        <v>0</v>
      </c>
      <c r="K330" s="25">
        <f t="shared" si="5"/>
        <v>0</v>
      </c>
    </row>
    <row r="331" spans="1:11" ht="15.95" customHeight="1" x14ac:dyDescent="0.2">
      <c r="A331" s="26" t="s">
        <v>544</v>
      </c>
      <c r="B331" s="369" t="s">
        <v>545</v>
      </c>
      <c r="C331" s="370"/>
      <c r="D331" s="370"/>
      <c r="E331" s="27">
        <v>0</v>
      </c>
      <c r="F331" s="27">
        <v>115857.36</v>
      </c>
      <c r="H331" s="27">
        <v>133159.82</v>
      </c>
      <c r="J331" s="27">
        <v>-17302.46</v>
      </c>
      <c r="K331" s="25">
        <f t="shared" si="5"/>
        <v>-17302.46</v>
      </c>
    </row>
    <row r="332" spans="1:11" ht="15.95" customHeight="1" x14ac:dyDescent="0.2">
      <c r="A332" s="26" t="s">
        <v>546</v>
      </c>
      <c r="B332" s="369" t="s">
        <v>547</v>
      </c>
      <c r="C332" s="370"/>
      <c r="D332" s="370"/>
      <c r="E332" s="27">
        <v>0</v>
      </c>
      <c r="F332" s="27">
        <v>598141.6</v>
      </c>
      <c r="H332" s="27">
        <v>598141.6</v>
      </c>
      <c r="J332" s="27">
        <v>0</v>
      </c>
      <c r="K332" s="25">
        <f t="shared" si="5"/>
        <v>0</v>
      </c>
    </row>
    <row r="333" spans="1:11" ht="15.95" customHeight="1" x14ac:dyDescent="0.2">
      <c r="A333" s="26" t="s">
        <v>548</v>
      </c>
      <c r="B333" s="369" t="s">
        <v>549</v>
      </c>
      <c r="C333" s="370"/>
      <c r="D333" s="370"/>
      <c r="E333" s="27">
        <v>0</v>
      </c>
      <c r="F333" s="27">
        <v>59090.239999999998</v>
      </c>
      <c r="H333" s="27">
        <v>59090.239999999998</v>
      </c>
      <c r="J333" s="27">
        <v>0</v>
      </c>
      <c r="K333" s="25">
        <f t="shared" si="5"/>
        <v>0</v>
      </c>
    </row>
    <row r="334" spans="1:11" ht="15.95" customHeight="1" x14ac:dyDescent="0.2">
      <c r="A334" s="26" t="s">
        <v>1517</v>
      </c>
      <c r="B334" s="369" t="s">
        <v>1518</v>
      </c>
      <c r="C334" s="370"/>
      <c r="D334" s="370"/>
      <c r="E334" s="27">
        <v>5.49</v>
      </c>
      <c r="F334" s="27">
        <v>716.01</v>
      </c>
      <c r="H334" s="27">
        <v>721.5</v>
      </c>
      <c r="J334" s="27">
        <v>0</v>
      </c>
      <c r="K334" s="25">
        <f t="shared" si="5"/>
        <v>-5.49</v>
      </c>
    </row>
    <row r="335" spans="1:11" ht="15.95" customHeight="1" x14ac:dyDescent="0.2">
      <c r="A335" s="26" t="s">
        <v>1519</v>
      </c>
      <c r="B335" s="369" t="s">
        <v>1520</v>
      </c>
      <c r="C335" s="370"/>
      <c r="D335" s="370"/>
      <c r="E335" s="27">
        <v>-3931.04</v>
      </c>
      <c r="F335" s="27">
        <v>25031.919999999998</v>
      </c>
      <c r="H335" s="27">
        <v>21100.880000000001</v>
      </c>
      <c r="J335" s="27">
        <v>0</v>
      </c>
      <c r="K335" s="25">
        <f t="shared" si="5"/>
        <v>3931.04</v>
      </c>
    </row>
    <row r="336" spans="1:11" ht="15.95" customHeight="1" x14ac:dyDescent="0.2">
      <c r="A336" s="26" t="s">
        <v>550</v>
      </c>
      <c r="B336" s="369" t="s">
        <v>551</v>
      </c>
      <c r="C336" s="370"/>
      <c r="D336" s="370"/>
      <c r="E336" s="27">
        <v>0</v>
      </c>
      <c r="F336" s="27">
        <v>86026.81</v>
      </c>
      <c r="H336" s="27">
        <v>86026.81</v>
      </c>
      <c r="J336" s="27">
        <v>0</v>
      </c>
      <c r="K336" s="25">
        <f t="shared" si="5"/>
        <v>0</v>
      </c>
    </row>
    <row r="337" spans="1:11" ht="15.95" customHeight="1" x14ac:dyDescent="0.2">
      <c r="A337" s="26" t="s">
        <v>1521</v>
      </c>
      <c r="B337" s="369" t="s">
        <v>1522</v>
      </c>
      <c r="C337" s="370"/>
      <c r="D337" s="370"/>
      <c r="E337" s="27">
        <v>-1125</v>
      </c>
      <c r="F337" s="27">
        <v>6750</v>
      </c>
      <c r="H337" s="27">
        <v>5625</v>
      </c>
      <c r="J337" s="27">
        <v>0</v>
      </c>
      <c r="K337" s="25">
        <f t="shared" si="5"/>
        <v>1125</v>
      </c>
    </row>
    <row r="338" spans="1:11" ht="15.95" customHeight="1" x14ac:dyDescent="0.2">
      <c r="A338" s="26" t="s">
        <v>552</v>
      </c>
      <c r="B338" s="369" t="s">
        <v>553</v>
      </c>
      <c r="C338" s="370"/>
      <c r="D338" s="370"/>
      <c r="E338" s="27">
        <v>0</v>
      </c>
      <c r="F338" s="27">
        <v>5959.58</v>
      </c>
      <c r="H338" s="27">
        <v>5959.58</v>
      </c>
      <c r="J338" s="27">
        <v>0</v>
      </c>
      <c r="K338" s="25">
        <f t="shared" si="5"/>
        <v>0</v>
      </c>
    </row>
    <row r="339" spans="1:11" ht="15.95" customHeight="1" x14ac:dyDescent="0.2">
      <c r="A339" s="26" t="s">
        <v>1599</v>
      </c>
      <c r="B339" s="369" t="s">
        <v>1600</v>
      </c>
      <c r="C339" s="370"/>
      <c r="D339" s="370"/>
      <c r="E339" s="27">
        <v>-3764.2</v>
      </c>
      <c r="F339" s="27">
        <v>3764.2</v>
      </c>
      <c r="H339" s="27">
        <v>0</v>
      </c>
      <c r="J339" s="27">
        <v>0</v>
      </c>
      <c r="K339" s="25">
        <f t="shared" si="5"/>
        <v>3764.2</v>
      </c>
    </row>
    <row r="340" spans="1:11" ht="15.95" customHeight="1" x14ac:dyDescent="0.2">
      <c r="A340" s="26" t="s">
        <v>1601</v>
      </c>
      <c r="B340" s="369" t="s">
        <v>1602</v>
      </c>
      <c r="C340" s="370"/>
      <c r="D340" s="370"/>
      <c r="E340" s="27">
        <v>-26400</v>
      </c>
      <c r="F340" s="27">
        <v>26400</v>
      </c>
      <c r="H340" s="27">
        <v>0</v>
      </c>
      <c r="J340" s="27">
        <v>0</v>
      </c>
      <c r="K340" s="25">
        <f t="shared" si="5"/>
        <v>26400</v>
      </c>
    </row>
    <row r="341" spans="1:11" ht="15.95" customHeight="1" x14ac:dyDescent="0.2">
      <c r="A341" s="26" t="s">
        <v>1603</v>
      </c>
      <c r="B341" s="369" t="s">
        <v>1604</v>
      </c>
      <c r="C341" s="370"/>
      <c r="D341" s="370"/>
      <c r="E341" s="27">
        <v>-7190</v>
      </c>
      <c r="F341" s="27">
        <v>7190</v>
      </c>
      <c r="H341" s="27">
        <v>0</v>
      </c>
      <c r="J341" s="27">
        <v>0</v>
      </c>
      <c r="K341" s="25">
        <f t="shared" si="5"/>
        <v>7190</v>
      </c>
    </row>
    <row r="342" spans="1:11" ht="15.95" customHeight="1" x14ac:dyDescent="0.2">
      <c r="A342" s="26" t="s">
        <v>554</v>
      </c>
      <c r="B342" s="369" t="s">
        <v>555</v>
      </c>
      <c r="C342" s="370"/>
      <c r="D342" s="370"/>
      <c r="E342" s="27">
        <v>0</v>
      </c>
      <c r="F342" s="27">
        <v>629.75</v>
      </c>
      <c r="H342" s="27">
        <v>629.75</v>
      </c>
      <c r="J342" s="27">
        <v>0</v>
      </c>
      <c r="K342" s="25">
        <f t="shared" si="5"/>
        <v>0</v>
      </c>
    </row>
    <row r="343" spans="1:11" ht="15.95" customHeight="1" x14ac:dyDescent="0.2">
      <c r="A343" s="26">
        <v>2110102</v>
      </c>
      <c r="B343" s="369" t="s">
        <v>566</v>
      </c>
      <c r="C343" s="370"/>
      <c r="D343" s="370"/>
      <c r="E343" s="27">
        <v>-404681.88</v>
      </c>
      <c r="F343" s="27">
        <v>2104182.56</v>
      </c>
      <c r="H343" s="27">
        <v>2080434.46</v>
      </c>
      <c r="J343" s="27">
        <v>-380933.78</v>
      </c>
      <c r="K343" s="25">
        <f t="shared" si="5"/>
        <v>23748.099999999977</v>
      </c>
    </row>
    <row r="344" spans="1:11" ht="15.95" customHeight="1" x14ac:dyDescent="0.2">
      <c r="A344" s="26" t="s">
        <v>567</v>
      </c>
      <c r="B344" s="369" t="s">
        <v>568</v>
      </c>
      <c r="C344" s="370"/>
      <c r="D344" s="370"/>
      <c r="E344" s="27">
        <v>0</v>
      </c>
      <c r="F344" s="27">
        <v>1437</v>
      </c>
      <c r="H344" s="27">
        <v>1437</v>
      </c>
      <c r="J344" s="27">
        <v>0</v>
      </c>
      <c r="K344" s="25">
        <f t="shared" si="5"/>
        <v>0</v>
      </c>
    </row>
    <row r="345" spans="1:11" ht="15.95" customHeight="1" x14ac:dyDescent="0.2">
      <c r="A345" s="26" t="s">
        <v>569</v>
      </c>
      <c r="B345" s="369" t="s">
        <v>570</v>
      </c>
      <c r="C345" s="370"/>
      <c r="D345" s="370"/>
      <c r="E345" s="27">
        <v>0</v>
      </c>
      <c r="F345" s="27">
        <v>70764.990000000005</v>
      </c>
      <c r="H345" s="27">
        <v>70764.990000000005</v>
      </c>
      <c r="J345" s="27">
        <v>0</v>
      </c>
      <c r="K345" s="25">
        <f t="shared" si="5"/>
        <v>0</v>
      </c>
    </row>
    <row r="346" spans="1:11" ht="15.95" customHeight="1" x14ac:dyDescent="0.2">
      <c r="A346" s="26" t="s">
        <v>571</v>
      </c>
      <c r="B346" s="369" t="s">
        <v>572</v>
      </c>
      <c r="C346" s="370"/>
      <c r="D346" s="370"/>
      <c r="E346" s="27">
        <v>0</v>
      </c>
      <c r="F346" s="27">
        <v>10605.84</v>
      </c>
      <c r="H346" s="27">
        <v>10605.84</v>
      </c>
      <c r="J346" s="27">
        <v>0</v>
      </c>
      <c r="K346" s="25">
        <f t="shared" si="5"/>
        <v>0</v>
      </c>
    </row>
    <row r="347" spans="1:11" ht="15.95" customHeight="1" x14ac:dyDescent="0.2">
      <c r="A347" s="26" t="s">
        <v>573</v>
      </c>
      <c r="B347" s="369" t="s">
        <v>574</v>
      </c>
      <c r="C347" s="370"/>
      <c r="D347" s="370"/>
      <c r="E347" s="27">
        <v>-10044.700000000001</v>
      </c>
      <c r="F347" s="27">
        <v>65077.74</v>
      </c>
      <c r="H347" s="27">
        <v>55033.04</v>
      </c>
      <c r="J347" s="27">
        <v>0</v>
      </c>
      <c r="K347" s="25">
        <f t="shared" si="5"/>
        <v>10044.700000000001</v>
      </c>
    </row>
    <row r="348" spans="1:11" ht="15.95" customHeight="1" x14ac:dyDescent="0.2">
      <c r="A348" s="26" t="s">
        <v>575</v>
      </c>
      <c r="B348" s="369" t="s">
        <v>576</v>
      </c>
      <c r="C348" s="370"/>
      <c r="D348" s="370"/>
      <c r="E348" s="27">
        <v>-1600</v>
      </c>
      <c r="F348" s="27">
        <v>11882.66</v>
      </c>
      <c r="H348" s="27">
        <v>12565.32</v>
      </c>
      <c r="J348" s="27">
        <v>-2282.66</v>
      </c>
      <c r="K348" s="25">
        <f t="shared" si="5"/>
        <v>-682.65999999999985</v>
      </c>
    </row>
    <row r="349" spans="1:11" ht="15.95" customHeight="1" x14ac:dyDescent="0.2">
      <c r="A349" s="26" t="s">
        <v>1605</v>
      </c>
      <c r="B349" s="369" t="s">
        <v>1606</v>
      </c>
      <c r="C349" s="370"/>
      <c r="D349" s="370"/>
      <c r="E349" s="27">
        <v>-2277.16</v>
      </c>
      <c r="F349" s="27">
        <v>2277.16</v>
      </c>
      <c r="H349" s="27">
        <v>0</v>
      </c>
      <c r="J349" s="27">
        <v>0</v>
      </c>
      <c r="K349" s="25">
        <f t="shared" si="5"/>
        <v>2277.16</v>
      </c>
    </row>
    <row r="350" spans="1:11" ht="15.95" customHeight="1" x14ac:dyDescent="0.2">
      <c r="A350" s="26" t="s">
        <v>1523</v>
      </c>
      <c r="B350" s="369" t="s">
        <v>1524</v>
      </c>
      <c r="C350" s="370"/>
      <c r="D350" s="370"/>
      <c r="E350" s="27">
        <v>-374650.46</v>
      </c>
      <c r="F350" s="27">
        <v>0</v>
      </c>
      <c r="H350" s="27">
        <v>0</v>
      </c>
      <c r="J350" s="27">
        <v>-374650.46</v>
      </c>
      <c r="K350" s="25">
        <f t="shared" si="5"/>
        <v>0</v>
      </c>
    </row>
    <row r="351" spans="1:11" ht="15.95" customHeight="1" x14ac:dyDescent="0.2">
      <c r="A351" s="26" t="s">
        <v>1525</v>
      </c>
      <c r="B351" s="369" t="s">
        <v>1526</v>
      </c>
      <c r="C351" s="370"/>
      <c r="D351" s="370"/>
      <c r="E351" s="27">
        <v>0</v>
      </c>
      <c r="F351" s="27">
        <v>11629.2</v>
      </c>
      <c r="H351" s="27">
        <v>11629.2</v>
      </c>
      <c r="J351" s="27">
        <v>0</v>
      </c>
      <c r="K351" s="25">
        <f t="shared" si="5"/>
        <v>0</v>
      </c>
    </row>
    <row r="352" spans="1:11" ht="15.95" customHeight="1" x14ac:dyDescent="0.2">
      <c r="A352" s="26" t="s">
        <v>577</v>
      </c>
      <c r="B352" s="369" t="s">
        <v>578</v>
      </c>
      <c r="C352" s="370"/>
      <c r="D352" s="370"/>
      <c r="E352" s="27">
        <v>0</v>
      </c>
      <c r="F352" s="27">
        <v>13109</v>
      </c>
      <c r="H352" s="27">
        <v>13109</v>
      </c>
      <c r="J352" s="27">
        <v>0</v>
      </c>
      <c r="K352" s="25">
        <f t="shared" si="5"/>
        <v>0</v>
      </c>
    </row>
    <row r="353" spans="1:11" ht="15.95" customHeight="1" x14ac:dyDescent="0.2">
      <c r="A353" s="26" t="s">
        <v>581</v>
      </c>
      <c r="B353" s="369" t="s">
        <v>582</v>
      </c>
      <c r="C353" s="370"/>
      <c r="D353" s="370"/>
      <c r="E353" s="27">
        <v>0</v>
      </c>
      <c r="F353" s="27">
        <v>1214941.98</v>
      </c>
      <c r="H353" s="27">
        <v>1214941.98</v>
      </c>
      <c r="J353" s="27">
        <v>0</v>
      </c>
      <c r="K353" s="25">
        <f t="shared" si="5"/>
        <v>0</v>
      </c>
    </row>
    <row r="354" spans="1:11" ht="15.95" customHeight="1" x14ac:dyDescent="0.2">
      <c r="A354" s="26" t="s">
        <v>583</v>
      </c>
      <c r="B354" s="369" t="s">
        <v>584</v>
      </c>
      <c r="C354" s="370"/>
      <c r="D354" s="370"/>
      <c r="E354" s="27">
        <v>-3793.16</v>
      </c>
      <c r="F354" s="27">
        <v>0</v>
      </c>
      <c r="H354" s="27">
        <v>0</v>
      </c>
      <c r="J354" s="27">
        <v>-3793.16</v>
      </c>
      <c r="K354" s="25">
        <f t="shared" si="5"/>
        <v>0</v>
      </c>
    </row>
    <row r="355" spans="1:11" ht="15.95" customHeight="1" x14ac:dyDescent="0.2">
      <c r="A355" s="26" t="s">
        <v>585</v>
      </c>
      <c r="B355" s="369" t="s">
        <v>586</v>
      </c>
      <c r="C355" s="370"/>
      <c r="D355" s="370"/>
      <c r="E355" s="27">
        <v>0</v>
      </c>
      <c r="F355" s="27">
        <v>1477.45</v>
      </c>
      <c r="H355" s="27">
        <v>1477.45</v>
      </c>
      <c r="J355" s="27">
        <v>0</v>
      </c>
      <c r="K355" s="25">
        <f t="shared" si="5"/>
        <v>0</v>
      </c>
    </row>
    <row r="356" spans="1:11" ht="15.95" customHeight="1" x14ac:dyDescent="0.2">
      <c r="A356" s="26" t="s">
        <v>1527</v>
      </c>
      <c r="B356" s="369" t="s">
        <v>1528</v>
      </c>
      <c r="C356" s="370"/>
      <c r="D356" s="370"/>
      <c r="E356" s="27">
        <v>0</v>
      </c>
      <c r="F356" s="27">
        <v>502814.28</v>
      </c>
      <c r="H356" s="27">
        <v>502814.28</v>
      </c>
      <c r="J356" s="27">
        <v>0</v>
      </c>
      <c r="K356" s="25">
        <f t="shared" si="5"/>
        <v>0</v>
      </c>
    </row>
    <row r="357" spans="1:11" ht="15.95" customHeight="1" x14ac:dyDescent="0.2">
      <c r="A357" s="26" t="s">
        <v>1607</v>
      </c>
      <c r="B357" s="369" t="s">
        <v>1608</v>
      </c>
      <c r="C357" s="370"/>
      <c r="D357" s="370"/>
      <c r="E357" s="27">
        <v>-10126.4</v>
      </c>
      <c r="F357" s="27">
        <v>10126.4</v>
      </c>
      <c r="H357" s="27">
        <v>0</v>
      </c>
      <c r="J357" s="27">
        <v>0</v>
      </c>
      <c r="K357" s="25">
        <f t="shared" si="5"/>
        <v>10126.4</v>
      </c>
    </row>
    <row r="358" spans="1:11" ht="15.95" customHeight="1" x14ac:dyDescent="0.2">
      <c r="A358" s="26" t="s">
        <v>1529</v>
      </c>
      <c r="B358" s="369" t="s">
        <v>1530</v>
      </c>
      <c r="C358" s="370"/>
      <c r="D358" s="370"/>
      <c r="E358" s="27">
        <v>0</v>
      </c>
      <c r="F358" s="27">
        <v>14300</v>
      </c>
      <c r="H358" s="27">
        <v>14300</v>
      </c>
      <c r="J358" s="27">
        <v>0</v>
      </c>
      <c r="K358" s="25">
        <f t="shared" si="5"/>
        <v>0</v>
      </c>
    </row>
    <row r="359" spans="1:11" ht="15.95" customHeight="1" x14ac:dyDescent="0.2">
      <c r="A359" s="26" t="s">
        <v>1531</v>
      </c>
      <c r="B359" s="369" t="s">
        <v>1532</v>
      </c>
      <c r="C359" s="370"/>
      <c r="D359" s="370"/>
      <c r="E359" s="27">
        <v>0</v>
      </c>
      <c r="F359" s="27">
        <v>10375</v>
      </c>
      <c r="H359" s="27">
        <v>10582.5</v>
      </c>
      <c r="J359" s="27">
        <v>-207.5</v>
      </c>
      <c r="K359" s="25">
        <f t="shared" si="5"/>
        <v>-207.5</v>
      </c>
    </row>
    <row r="360" spans="1:11" ht="15.95" customHeight="1" x14ac:dyDescent="0.2">
      <c r="A360" s="26" t="s">
        <v>1609</v>
      </c>
      <c r="B360" s="369" t="s">
        <v>1610</v>
      </c>
      <c r="C360" s="370"/>
      <c r="D360" s="370"/>
      <c r="E360" s="27">
        <v>-2190</v>
      </c>
      <c r="F360" s="27">
        <v>2190</v>
      </c>
      <c r="H360" s="27">
        <v>0</v>
      </c>
      <c r="J360" s="27">
        <v>0</v>
      </c>
      <c r="K360" s="25">
        <f t="shared" si="5"/>
        <v>2190</v>
      </c>
    </row>
    <row r="361" spans="1:11" ht="15.95" customHeight="1" x14ac:dyDescent="0.2">
      <c r="A361" s="26" t="s">
        <v>1611</v>
      </c>
      <c r="B361" s="369" t="s">
        <v>1612</v>
      </c>
      <c r="C361" s="370"/>
      <c r="D361" s="370"/>
      <c r="E361" s="27">
        <v>0</v>
      </c>
      <c r="F361" s="27">
        <v>36000</v>
      </c>
      <c r="H361" s="27">
        <v>36000</v>
      </c>
      <c r="J361" s="27">
        <v>0</v>
      </c>
      <c r="K361" s="25">
        <f t="shared" si="5"/>
        <v>0</v>
      </c>
    </row>
    <row r="362" spans="1:11" ht="15.95" customHeight="1" x14ac:dyDescent="0.2">
      <c r="A362" s="26" t="s">
        <v>1533</v>
      </c>
      <c r="B362" s="369" t="s">
        <v>1534</v>
      </c>
      <c r="C362" s="370"/>
      <c r="D362" s="370"/>
      <c r="E362" s="27">
        <v>0</v>
      </c>
      <c r="F362" s="27">
        <v>7720</v>
      </c>
      <c r="H362" s="27">
        <v>7720</v>
      </c>
      <c r="J362" s="27">
        <v>0</v>
      </c>
      <c r="K362" s="25">
        <f t="shared" si="5"/>
        <v>0</v>
      </c>
    </row>
    <row r="363" spans="1:11" ht="15.95" customHeight="1" x14ac:dyDescent="0.2">
      <c r="A363" s="26" t="s">
        <v>1535</v>
      </c>
      <c r="B363" s="369" t="s">
        <v>1536</v>
      </c>
      <c r="C363" s="370"/>
      <c r="D363" s="370"/>
      <c r="E363" s="27">
        <v>0</v>
      </c>
      <c r="F363" s="27">
        <v>42423.81</v>
      </c>
      <c r="H363" s="27">
        <v>42423.81</v>
      </c>
      <c r="J363" s="27">
        <v>0</v>
      </c>
      <c r="K363" s="25">
        <f t="shared" si="5"/>
        <v>0</v>
      </c>
    </row>
    <row r="364" spans="1:11" ht="15.95" customHeight="1" x14ac:dyDescent="0.2">
      <c r="A364" s="26" t="s">
        <v>1537</v>
      </c>
      <c r="B364" s="369" t="s">
        <v>1538</v>
      </c>
      <c r="C364" s="370"/>
      <c r="D364" s="370"/>
      <c r="E364" s="27">
        <v>0</v>
      </c>
      <c r="F364" s="27">
        <v>70430.05</v>
      </c>
      <c r="H364" s="27">
        <v>70430.05</v>
      </c>
      <c r="J364" s="27">
        <v>0</v>
      </c>
      <c r="K364" s="25">
        <f t="shared" si="5"/>
        <v>0</v>
      </c>
    </row>
    <row r="365" spans="1:11" ht="15.95" customHeight="1" x14ac:dyDescent="0.2">
      <c r="A365" s="26" t="s">
        <v>1539</v>
      </c>
      <c r="B365" s="369" t="s">
        <v>1540</v>
      </c>
      <c r="C365" s="370"/>
      <c r="D365" s="370"/>
      <c r="E365" s="27">
        <v>0</v>
      </c>
      <c r="F365" s="27">
        <v>400</v>
      </c>
      <c r="H365" s="27">
        <v>400</v>
      </c>
      <c r="J365" s="27">
        <v>0</v>
      </c>
      <c r="K365" s="25">
        <f t="shared" si="5"/>
        <v>0</v>
      </c>
    </row>
    <row r="366" spans="1:11" ht="15.95" customHeight="1" x14ac:dyDescent="0.2">
      <c r="A366" s="26" t="s">
        <v>1541</v>
      </c>
      <c r="B366" s="369" t="s">
        <v>1542</v>
      </c>
      <c r="C366" s="370"/>
      <c r="D366" s="370"/>
      <c r="E366" s="27">
        <v>0</v>
      </c>
      <c r="F366" s="27">
        <v>4200</v>
      </c>
      <c r="H366" s="27">
        <v>4200</v>
      </c>
      <c r="J366" s="27">
        <v>0</v>
      </c>
      <c r="K366" s="25">
        <f t="shared" si="5"/>
        <v>0</v>
      </c>
    </row>
    <row r="367" spans="1:11" ht="15.95" customHeight="1" x14ac:dyDescent="0.2">
      <c r="A367" s="28">
        <v>213</v>
      </c>
      <c r="B367" s="371" t="s">
        <v>615</v>
      </c>
      <c r="C367" s="372"/>
      <c r="D367" s="372"/>
      <c r="E367" s="29">
        <v>-1982157.36</v>
      </c>
      <c r="F367" s="29">
        <v>8489319.2100000009</v>
      </c>
      <c r="G367" s="30"/>
      <c r="H367" s="29">
        <v>9230185.8599999994</v>
      </c>
      <c r="I367" s="30"/>
      <c r="J367" s="29">
        <v>-2723024.01</v>
      </c>
      <c r="K367" s="31">
        <f t="shared" si="5"/>
        <v>-740866.64999999967</v>
      </c>
    </row>
    <row r="368" spans="1:11" ht="15.95" customHeight="1" x14ac:dyDescent="0.2">
      <c r="A368" s="26">
        <v>21301</v>
      </c>
      <c r="B368" s="369" t="s">
        <v>615</v>
      </c>
      <c r="C368" s="370"/>
      <c r="D368" s="370"/>
      <c r="E368" s="27">
        <v>-1982157.36</v>
      </c>
      <c r="F368" s="27">
        <v>8489319.2100000009</v>
      </c>
      <c r="H368" s="27">
        <v>9230185.8599999994</v>
      </c>
      <c r="J368" s="27">
        <v>-2723024.01</v>
      </c>
      <c r="K368" s="25">
        <f t="shared" si="5"/>
        <v>-740866.64999999967</v>
      </c>
    </row>
    <row r="369" spans="1:11" ht="15.95" customHeight="1" x14ac:dyDescent="0.2">
      <c r="A369" s="26">
        <v>2130101</v>
      </c>
      <c r="B369" s="369" t="s">
        <v>615</v>
      </c>
      <c r="C369" s="370"/>
      <c r="D369" s="370"/>
      <c r="E369" s="27">
        <v>-1982157.36</v>
      </c>
      <c r="F369" s="27">
        <v>8489319.2100000009</v>
      </c>
      <c r="H369" s="27">
        <v>9230185.8599999994</v>
      </c>
      <c r="J369" s="27">
        <v>-2723024.01</v>
      </c>
      <c r="K369" s="25">
        <f t="shared" si="5"/>
        <v>-740866.64999999967</v>
      </c>
    </row>
    <row r="370" spans="1:11" ht="15.95" customHeight="1" x14ac:dyDescent="0.2">
      <c r="A370" s="26" t="s">
        <v>616</v>
      </c>
      <c r="B370" s="369" t="s">
        <v>617</v>
      </c>
      <c r="C370" s="370"/>
      <c r="D370" s="370"/>
      <c r="E370" s="27">
        <v>0</v>
      </c>
      <c r="F370" s="27">
        <v>6930044.4100000001</v>
      </c>
      <c r="H370" s="27">
        <v>7582835.7699999996</v>
      </c>
      <c r="J370" s="27">
        <v>-652791.36</v>
      </c>
      <c r="K370" s="25">
        <f t="shared" si="5"/>
        <v>-652791.36</v>
      </c>
    </row>
    <row r="371" spans="1:11" ht="15.95" customHeight="1" x14ac:dyDescent="0.2">
      <c r="A371" s="26" t="s">
        <v>618</v>
      </c>
      <c r="B371" s="369" t="s">
        <v>619</v>
      </c>
      <c r="C371" s="370"/>
      <c r="D371" s="370"/>
      <c r="E371" s="27">
        <v>0</v>
      </c>
      <c r="F371" s="27">
        <v>1237686.8700000001</v>
      </c>
      <c r="H371" s="27">
        <v>1237686.8700000001</v>
      </c>
      <c r="J371" s="27">
        <v>0</v>
      </c>
      <c r="K371" s="25">
        <f t="shared" si="5"/>
        <v>0</v>
      </c>
    </row>
    <row r="372" spans="1:11" ht="15.95" customHeight="1" x14ac:dyDescent="0.2">
      <c r="A372" s="26" t="s">
        <v>620</v>
      </c>
      <c r="B372" s="369" t="s">
        <v>621</v>
      </c>
      <c r="C372" s="370"/>
      <c r="D372" s="370"/>
      <c r="E372" s="27">
        <v>0</v>
      </c>
      <c r="F372" s="27">
        <v>186540.26</v>
      </c>
      <c r="H372" s="27">
        <v>274765.74</v>
      </c>
      <c r="J372" s="27">
        <v>-88225.48</v>
      </c>
      <c r="K372" s="25">
        <f t="shared" si="5"/>
        <v>-88225.48</v>
      </c>
    </row>
    <row r="373" spans="1:11" ht="15.95" customHeight="1" x14ac:dyDescent="0.2">
      <c r="A373" s="26" t="s">
        <v>622</v>
      </c>
      <c r="B373" s="369" t="s">
        <v>623</v>
      </c>
      <c r="C373" s="370"/>
      <c r="D373" s="370"/>
      <c r="E373" s="27">
        <v>-1982157.36</v>
      </c>
      <c r="F373" s="27">
        <v>135047.67000000001</v>
      </c>
      <c r="H373" s="27">
        <v>134897.48000000001</v>
      </c>
      <c r="J373" s="27">
        <v>-1982007.17</v>
      </c>
      <c r="K373" s="25">
        <f t="shared" si="5"/>
        <v>150.19000000017695</v>
      </c>
    </row>
    <row r="374" spans="1:11" ht="15.95" customHeight="1" x14ac:dyDescent="0.2">
      <c r="A374" s="28">
        <v>214</v>
      </c>
      <c r="B374" s="371" t="s">
        <v>628</v>
      </c>
      <c r="C374" s="372"/>
      <c r="D374" s="372"/>
      <c r="E374" s="29">
        <v>-2360319.29</v>
      </c>
      <c r="F374" s="29">
        <v>8891736.5800000001</v>
      </c>
      <c r="G374" s="30"/>
      <c r="H374" s="29">
        <v>8613240.0399999991</v>
      </c>
      <c r="I374" s="30"/>
      <c r="J374" s="29">
        <v>-2081822.75</v>
      </c>
      <c r="K374" s="31">
        <f t="shared" si="5"/>
        <v>278496.54000000004</v>
      </c>
    </row>
    <row r="375" spans="1:11" ht="15.95" customHeight="1" x14ac:dyDescent="0.2">
      <c r="A375" s="26">
        <v>21401</v>
      </c>
      <c r="B375" s="369" t="s">
        <v>628</v>
      </c>
      <c r="C375" s="370"/>
      <c r="D375" s="370"/>
      <c r="E375" s="27">
        <v>-2360319.29</v>
      </c>
      <c r="F375" s="27">
        <v>8891736.5800000001</v>
      </c>
      <c r="H375" s="27">
        <v>8613240.0399999991</v>
      </c>
      <c r="J375" s="27">
        <v>-2081822.75</v>
      </c>
      <c r="K375" s="25">
        <f t="shared" si="5"/>
        <v>278496.54000000004</v>
      </c>
    </row>
    <row r="376" spans="1:11" ht="15.95" customHeight="1" x14ac:dyDescent="0.2">
      <c r="A376" s="26">
        <v>2140101</v>
      </c>
      <c r="B376" s="369" t="s">
        <v>628</v>
      </c>
      <c r="C376" s="370"/>
      <c r="D376" s="370"/>
      <c r="E376" s="27">
        <v>-2360319.29</v>
      </c>
      <c r="F376" s="27">
        <v>8891736.5800000001</v>
      </c>
      <c r="H376" s="27">
        <v>8613240.0399999991</v>
      </c>
      <c r="J376" s="27">
        <v>-2081822.75</v>
      </c>
      <c r="K376" s="25">
        <f t="shared" si="5"/>
        <v>278496.54000000004</v>
      </c>
    </row>
    <row r="377" spans="1:11" ht="15.95" customHeight="1" x14ac:dyDescent="0.2">
      <c r="A377" s="26" t="s">
        <v>629</v>
      </c>
      <c r="B377" s="369" t="s">
        <v>630</v>
      </c>
      <c r="C377" s="370"/>
      <c r="D377" s="370"/>
      <c r="E377" s="27">
        <v>-446315.55</v>
      </c>
      <c r="F377" s="27">
        <v>2609798.27</v>
      </c>
      <c r="H377" s="27">
        <v>2588833.52</v>
      </c>
      <c r="J377" s="27">
        <v>-425350.8</v>
      </c>
      <c r="K377" s="25">
        <f t="shared" si="5"/>
        <v>20964.75</v>
      </c>
    </row>
    <row r="378" spans="1:11" ht="15.95" customHeight="1" x14ac:dyDescent="0.2">
      <c r="A378" s="26" t="s">
        <v>631</v>
      </c>
      <c r="B378" s="369" t="s">
        <v>632</v>
      </c>
      <c r="C378" s="370"/>
      <c r="D378" s="370"/>
      <c r="E378" s="27">
        <v>-166754.6</v>
      </c>
      <c r="F378" s="27">
        <v>729168.68</v>
      </c>
      <c r="H378" s="27">
        <v>662459.6</v>
      </c>
      <c r="J378" s="27">
        <v>-100045.52</v>
      </c>
      <c r="K378" s="25">
        <f t="shared" si="5"/>
        <v>66709.08</v>
      </c>
    </row>
    <row r="379" spans="1:11" ht="27.95" customHeight="1" x14ac:dyDescent="0.2">
      <c r="A379" s="26" t="s">
        <v>633</v>
      </c>
      <c r="B379" s="369" t="s">
        <v>634</v>
      </c>
      <c r="C379" s="370"/>
      <c r="D379" s="370"/>
      <c r="E379" s="27">
        <v>-629815.68000000005</v>
      </c>
      <c r="F379" s="27">
        <v>314907.84000000003</v>
      </c>
      <c r="H379" s="27">
        <v>314907.84000000003</v>
      </c>
      <c r="J379" s="27">
        <v>-629815.68000000005</v>
      </c>
      <c r="K379" s="25">
        <f t="shared" si="5"/>
        <v>0</v>
      </c>
    </row>
    <row r="380" spans="1:11" ht="15.95" customHeight="1" x14ac:dyDescent="0.2">
      <c r="A380" s="26" t="s">
        <v>635</v>
      </c>
      <c r="B380" s="369" t="s">
        <v>636</v>
      </c>
      <c r="C380" s="370"/>
      <c r="D380" s="370"/>
      <c r="E380" s="27">
        <v>-253295.68</v>
      </c>
      <c r="F380" s="27">
        <v>2084312.07</v>
      </c>
      <c r="H380" s="27">
        <v>2132354.7000000002</v>
      </c>
      <c r="J380" s="27">
        <v>-301338.31</v>
      </c>
      <c r="K380" s="25">
        <f t="shared" si="5"/>
        <v>-48042.630000000005</v>
      </c>
    </row>
    <row r="381" spans="1:11" ht="15.95" customHeight="1" x14ac:dyDescent="0.2">
      <c r="A381" s="26" t="s">
        <v>637</v>
      </c>
      <c r="B381" s="369" t="s">
        <v>638</v>
      </c>
      <c r="C381" s="370"/>
      <c r="D381" s="370"/>
      <c r="E381" s="27">
        <v>-54889.86</v>
      </c>
      <c r="F381" s="27">
        <v>452049.83</v>
      </c>
      <c r="H381" s="27">
        <v>462347.81</v>
      </c>
      <c r="J381" s="27">
        <v>-65187.839999999997</v>
      </c>
      <c r="K381" s="25">
        <f t="shared" si="5"/>
        <v>-10297.979999999996</v>
      </c>
    </row>
    <row r="382" spans="1:11" ht="15.95" customHeight="1" x14ac:dyDescent="0.2">
      <c r="A382" s="26" t="s">
        <v>639</v>
      </c>
      <c r="B382" s="369" t="s">
        <v>640</v>
      </c>
      <c r="C382" s="370"/>
      <c r="D382" s="370"/>
      <c r="E382" s="27">
        <v>1177.45</v>
      </c>
      <c r="F382" s="27">
        <v>99263.72</v>
      </c>
      <c r="H382" s="27">
        <v>100703.28</v>
      </c>
      <c r="J382" s="27">
        <v>-262.11</v>
      </c>
      <c r="K382" s="25">
        <f t="shared" si="5"/>
        <v>-1439.56</v>
      </c>
    </row>
    <row r="383" spans="1:11" ht="15.95" customHeight="1" x14ac:dyDescent="0.2">
      <c r="A383" s="26" t="s">
        <v>641</v>
      </c>
      <c r="B383" s="369" t="s">
        <v>642</v>
      </c>
      <c r="C383" s="370"/>
      <c r="D383" s="370"/>
      <c r="E383" s="27">
        <v>-110437.46</v>
      </c>
      <c r="F383" s="27">
        <v>672605.93</v>
      </c>
      <c r="H383" s="27">
        <v>639411.01</v>
      </c>
      <c r="J383" s="27">
        <v>-77242.539999999994</v>
      </c>
      <c r="K383" s="25">
        <f t="shared" si="5"/>
        <v>33194.920000000013</v>
      </c>
    </row>
    <row r="384" spans="1:11" ht="15.95" customHeight="1" x14ac:dyDescent="0.2">
      <c r="A384" s="26" t="s">
        <v>643</v>
      </c>
      <c r="B384" s="369" t="s">
        <v>644</v>
      </c>
      <c r="C384" s="370"/>
      <c r="D384" s="370"/>
      <c r="E384" s="27">
        <v>-43769.34</v>
      </c>
      <c r="F384" s="27">
        <v>247693.4</v>
      </c>
      <c r="H384" s="27">
        <v>236436.95</v>
      </c>
      <c r="J384" s="27">
        <v>-32512.89</v>
      </c>
      <c r="K384" s="25">
        <f t="shared" si="5"/>
        <v>11256.449999999997</v>
      </c>
    </row>
    <row r="385" spans="1:11" ht="15.95" customHeight="1" x14ac:dyDescent="0.2">
      <c r="A385" s="26" t="s">
        <v>645</v>
      </c>
      <c r="B385" s="369" t="s">
        <v>646</v>
      </c>
      <c r="C385" s="370"/>
      <c r="D385" s="370"/>
      <c r="E385" s="27">
        <v>-418461.37</v>
      </c>
      <c r="F385" s="27">
        <v>1055383.1399999999</v>
      </c>
      <c r="H385" s="27">
        <v>856324.87</v>
      </c>
      <c r="J385" s="27">
        <v>-219403.1</v>
      </c>
      <c r="K385" s="25">
        <f t="shared" si="5"/>
        <v>199058.27</v>
      </c>
    </row>
    <row r="386" spans="1:11" ht="15.95" customHeight="1" x14ac:dyDescent="0.2">
      <c r="A386" s="26" t="s">
        <v>647</v>
      </c>
      <c r="B386" s="369" t="s">
        <v>648</v>
      </c>
      <c r="C386" s="370"/>
      <c r="D386" s="370"/>
      <c r="E386" s="27">
        <v>-98361.91</v>
      </c>
      <c r="F386" s="27">
        <v>598591.36</v>
      </c>
      <c r="H386" s="27">
        <v>591498.12</v>
      </c>
      <c r="J386" s="27">
        <v>-91268.67</v>
      </c>
      <c r="K386" s="25">
        <f t="shared" si="5"/>
        <v>7093.2400000000052</v>
      </c>
    </row>
    <row r="387" spans="1:11" ht="15.95" customHeight="1" x14ac:dyDescent="0.2">
      <c r="A387" s="26" t="s">
        <v>649</v>
      </c>
      <c r="B387" s="369" t="s">
        <v>650</v>
      </c>
      <c r="C387" s="370"/>
      <c r="D387" s="370"/>
      <c r="E387" s="27">
        <v>-83470.55</v>
      </c>
      <c r="F387" s="27">
        <v>0</v>
      </c>
      <c r="H387" s="27">
        <v>0</v>
      </c>
      <c r="J387" s="27">
        <v>-83470.55</v>
      </c>
      <c r="K387" s="25">
        <f t="shared" ref="K387:K450" si="6">J387-E387</f>
        <v>0</v>
      </c>
    </row>
    <row r="388" spans="1:11" ht="15.95" customHeight="1" x14ac:dyDescent="0.2">
      <c r="A388" s="26" t="s">
        <v>651</v>
      </c>
      <c r="B388" s="369" t="s">
        <v>652</v>
      </c>
      <c r="C388" s="370"/>
      <c r="D388" s="370"/>
      <c r="E388" s="27">
        <v>-55924.74</v>
      </c>
      <c r="F388" s="27">
        <v>27962.34</v>
      </c>
      <c r="H388" s="27">
        <v>27962.34</v>
      </c>
      <c r="J388" s="27">
        <v>-55924.74</v>
      </c>
      <c r="K388" s="25">
        <f t="shared" si="6"/>
        <v>0</v>
      </c>
    </row>
    <row r="389" spans="1:11" ht="15.95" customHeight="1" x14ac:dyDescent="0.2">
      <c r="A389" s="28">
        <v>215</v>
      </c>
      <c r="B389" s="371" t="s">
        <v>655</v>
      </c>
      <c r="C389" s="372"/>
      <c r="D389" s="372"/>
      <c r="E389" s="29">
        <v>-506906.06</v>
      </c>
      <c r="F389" s="29">
        <v>1951308.79</v>
      </c>
      <c r="G389" s="30"/>
      <c r="H389" s="29">
        <v>1758137.6</v>
      </c>
      <c r="I389" s="30"/>
      <c r="J389" s="29">
        <v>-313734.87</v>
      </c>
      <c r="K389" s="31">
        <f t="shared" si="6"/>
        <v>193171.19</v>
      </c>
    </row>
    <row r="390" spans="1:11" ht="15.95" customHeight="1" x14ac:dyDescent="0.2">
      <c r="A390" s="26">
        <v>21501</v>
      </c>
      <c r="B390" s="369" t="s">
        <v>655</v>
      </c>
      <c r="C390" s="370"/>
      <c r="D390" s="370"/>
      <c r="E390" s="27">
        <v>-506906.06</v>
      </c>
      <c r="F390" s="27">
        <v>1951308.79</v>
      </c>
      <c r="H390" s="27">
        <v>1758137.6</v>
      </c>
      <c r="J390" s="27">
        <v>-313734.87</v>
      </c>
      <c r="K390" s="25">
        <f t="shared" si="6"/>
        <v>193171.19</v>
      </c>
    </row>
    <row r="391" spans="1:11" ht="15.95" customHeight="1" x14ac:dyDescent="0.2">
      <c r="A391" s="26">
        <v>2150101</v>
      </c>
      <c r="B391" s="369" t="s">
        <v>656</v>
      </c>
      <c r="C391" s="370"/>
      <c r="D391" s="370"/>
      <c r="E391" s="27">
        <v>-462174.06</v>
      </c>
      <c r="F391" s="27">
        <v>1670871.74</v>
      </c>
      <c r="H391" s="27">
        <v>1473371.98</v>
      </c>
      <c r="J391" s="27">
        <v>-264674.3</v>
      </c>
      <c r="K391" s="25">
        <f t="shared" si="6"/>
        <v>197499.76</v>
      </c>
    </row>
    <row r="392" spans="1:11" ht="15.95" customHeight="1" x14ac:dyDescent="0.2">
      <c r="A392" s="26" t="s">
        <v>657</v>
      </c>
      <c r="B392" s="369" t="s">
        <v>658</v>
      </c>
      <c r="C392" s="370"/>
      <c r="D392" s="370"/>
      <c r="E392" s="27">
        <v>0</v>
      </c>
      <c r="F392" s="27">
        <v>600</v>
      </c>
      <c r="H392" s="27">
        <v>720</v>
      </c>
      <c r="J392" s="27">
        <v>-120</v>
      </c>
      <c r="K392" s="25">
        <f t="shared" si="6"/>
        <v>-120</v>
      </c>
    </row>
    <row r="393" spans="1:11" ht="15.95" customHeight="1" x14ac:dyDescent="0.2">
      <c r="A393" s="26" t="s">
        <v>659</v>
      </c>
      <c r="B393" s="369" t="s">
        <v>660</v>
      </c>
      <c r="C393" s="370"/>
      <c r="D393" s="370"/>
      <c r="E393" s="27">
        <v>-453702.96</v>
      </c>
      <c r="F393" s="27">
        <v>1451189.35</v>
      </c>
      <c r="H393" s="27">
        <v>1217968.48</v>
      </c>
      <c r="J393" s="27">
        <v>-220482.09</v>
      </c>
      <c r="K393" s="25">
        <f t="shared" si="6"/>
        <v>233220.87000000002</v>
      </c>
    </row>
    <row r="394" spans="1:11" ht="15.95" customHeight="1" x14ac:dyDescent="0.2">
      <c r="A394" s="26" t="s">
        <v>661</v>
      </c>
      <c r="B394" s="369" t="s">
        <v>662</v>
      </c>
      <c r="C394" s="370"/>
      <c r="D394" s="370"/>
      <c r="E394" s="27">
        <v>-3875.02</v>
      </c>
      <c r="F394" s="27">
        <v>10965.42</v>
      </c>
      <c r="H394" s="27">
        <v>9959.51</v>
      </c>
      <c r="J394" s="27">
        <v>-2869.11</v>
      </c>
      <c r="K394" s="25">
        <f t="shared" si="6"/>
        <v>1005.9099999999999</v>
      </c>
    </row>
    <row r="395" spans="1:11" ht="15.95" customHeight="1" x14ac:dyDescent="0.2">
      <c r="A395" s="26" t="s">
        <v>663</v>
      </c>
      <c r="B395" s="369" t="s">
        <v>664</v>
      </c>
      <c r="C395" s="370"/>
      <c r="D395" s="370"/>
      <c r="E395" s="27">
        <v>0</v>
      </c>
      <c r="F395" s="27">
        <v>2640.47</v>
      </c>
      <c r="H395" s="27">
        <v>3178.05</v>
      </c>
      <c r="J395" s="27">
        <v>-537.58000000000004</v>
      </c>
      <c r="K395" s="25">
        <f t="shared" si="6"/>
        <v>-537.58000000000004</v>
      </c>
    </row>
    <row r="396" spans="1:11" ht="15.95" customHeight="1" x14ac:dyDescent="0.2">
      <c r="A396" s="26" t="s">
        <v>665</v>
      </c>
      <c r="B396" s="369" t="s">
        <v>666</v>
      </c>
      <c r="C396" s="370"/>
      <c r="D396" s="370"/>
      <c r="E396" s="27">
        <v>0</v>
      </c>
      <c r="F396" s="27">
        <v>2389.5</v>
      </c>
      <c r="H396" s="27">
        <v>2871.32</v>
      </c>
      <c r="J396" s="27">
        <v>-481.82</v>
      </c>
      <c r="K396" s="25">
        <f t="shared" si="6"/>
        <v>-481.82</v>
      </c>
    </row>
    <row r="397" spans="1:11" ht="15.95" customHeight="1" x14ac:dyDescent="0.2">
      <c r="A397" s="26" t="s">
        <v>667</v>
      </c>
      <c r="B397" s="369" t="s">
        <v>668</v>
      </c>
      <c r="C397" s="370"/>
      <c r="D397" s="370"/>
      <c r="E397" s="27">
        <v>-2448.29</v>
      </c>
      <c r="F397" s="27">
        <v>9793.16</v>
      </c>
      <c r="H397" s="27">
        <v>7344.87</v>
      </c>
      <c r="J397" s="27">
        <v>0</v>
      </c>
      <c r="K397" s="25">
        <f t="shared" si="6"/>
        <v>2448.29</v>
      </c>
    </row>
    <row r="398" spans="1:11" ht="15.95" customHeight="1" x14ac:dyDescent="0.2">
      <c r="A398" s="26" t="s">
        <v>669</v>
      </c>
      <c r="B398" s="369" t="s">
        <v>670</v>
      </c>
      <c r="C398" s="370"/>
      <c r="D398" s="370"/>
      <c r="E398" s="27">
        <v>-275.76</v>
      </c>
      <c r="F398" s="27">
        <v>155838.65</v>
      </c>
      <c r="H398" s="27">
        <v>179585.53</v>
      </c>
      <c r="J398" s="27">
        <v>-24022.639999999999</v>
      </c>
      <c r="K398" s="25">
        <f t="shared" si="6"/>
        <v>-23746.880000000001</v>
      </c>
    </row>
    <row r="399" spans="1:11" ht="15.95" customHeight="1" x14ac:dyDescent="0.2">
      <c r="A399" s="26" t="s">
        <v>671</v>
      </c>
      <c r="B399" s="369" t="s">
        <v>672</v>
      </c>
      <c r="C399" s="370"/>
      <c r="D399" s="370"/>
      <c r="E399" s="27">
        <v>0</v>
      </c>
      <c r="F399" s="27">
        <v>27574.36</v>
      </c>
      <c r="H399" s="27">
        <v>42407.78</v>
      </c>
      <c r="J399" s="27">
        <v>-14833.42</v>
      </c>
      <c r="K399" s="25">
        <f t="shared" si="6"/>
        <v>-14833.42</v>
      </c>
    </row>
    <row r="400" spans="1:11" ht="15.95" customHeight="1" x14ac:dyDescent="0.2">
      <c r="A400" s="26" t="s">
        <v>673</v>
      </c>
      <c r="B400" s="369" t="s">
        <v>674</v>
      </c>
      <c r="C400" s="370"/>
      <c r="D400" s="370"/>
      <c r="E400" s="27">
        <v>-600</v>
      </c>
      <c r="F400" s="27">
        <v>1200</v>
      </c>
      <c r="H400" s="27">
        <v>1400</v>
      </c>
      <c r="J400" s="27">
        <v>-800</v>
      </c>
      <c r="K400" s="25">
        <f t="shared" si="6"/>
        <v>-200</v>
      </c>
    </row>
    <row r="401" spans="1:11" ht="15.95" customHeight="1" x14ac:dyDescent="0.2">
      <c r="A401" s="26" t="s">
        <v>675</v>
      </c>
      <c r="B401" s="369" t="s">
        <v>676</v>
      </c>
      <c r="C401" s="370"/>
      <c r="D401" s="370"/>
      <c r="E401" s="27">
        <v>-47.2</v>
      </c>
      <c r="F401" s="27">
        <v>236</v>
      </c>
      <c r="H401" s="27">
        <v>283.2</v>
      </c>
      <c r="J401" s="27">
        <v>-94.4</v>
      </c>
      <c r="K401" s="25">
        <f t="shared" si="6"/>
        <v>-47.2</v>
      </c>
    </row>
    <row r="402" spans="1:11" ht="15.95" customHeight="1" x14ac:dyDescent="0.2">
      <c r="A402" s="26" t="s">
        <v>677</v>
      </c>
      <c r="B402" s="369" t="s">
        <v>678</v>
      </c>
      <c r="C402" s="370"/>
      <c r="D402" s="370"/>
      <c r="E402" s="27">
        <v>-1224.83</v>
      </c>
      <c r="F402" s="27">
        <v>8444.83</v>
      </c>
      <c r="H402" s="27">
        <v>7653.24</v>
      </c>
      <c r="J402" s="27">
        <v>-433.24</v>
      </c>
      <c r="K402" s="25">
        <f t="shared" si="6"/>
        <v>791.58999999999992</v>
      </c>
    </row>
    <row r="403" spans="1:11" ht="15.95" customHeight="1" x14ac:dyDescent="0.2">
      <c r="A403" s="26">
        <v>2150102</v>
      </c>
      <c r="B403" s="369" t="s">
        <v>679</v>
      </c>
      <c r="C403" s="370"/>
      <c r="D403" s="370"/>
      <c r="E403" s="27">
        <v>-44732</v>
      </c>
      <c r="F403" s="27">
        <v>280437.05</v>
      </c>
      <c r="H403" s="27">
        <v>284765.62</v>
      </c>
      <c r="J403" s="27">
        <v>-49060.57</v>
      </c>
      <c r="K403" s="25">
        <f t="shared" si="6"/>
        <v>-4328.57</v>
      </c>
    </row>
    <row r="404" spans="1:11" ht="15.95" customHeight="1" x14ac:dyDescent="0.2">
      <c r="A404" s="26" t="s">
        <v>680</v>
      </c>
      <c r="B404" s="369" t="s">
        <v>681</v>
      </c>
      <c r="C404" s="370"/>
      <c r="D404" s="370"/>
      <c r="E404" s="27">
        <v>-35831</v>
      </c>
      <c r="F404" s="27">
        <v>202049.35</v>
      </c>
      <c r="H404" s="27">
        <v>200142.6</v>
      </c>
      <c r="J404" s="27">
        <v>-33924.25</v>
      </c>
      <c r="K404" s="25">
        <f t="shared" si="6"/>
        <v>1906.75</v>
      </c>
    </row>
    <row r="405" spans="1:11" ht="15.95" customHeight="1" x14ac:dyDescent="0.2">
      <c r="A405" s="26" t="s">
        <v>682</v>
      </c>
      <c r="B405" s="369" t="s">
        <v>683</v>
      </c>
      <c r="C405" s="370"/>
      <c r="D405" s="370"/>
      <c r="E405" s="27">
        <v>-8901</v>
      </c>
      <c r="F405" s="27">
        <v>57268</v>
      </c>
      <c r="H405" s="27">
        <v>60180.08</v>
      </c>
      <c r="J405" s="27">
        <v>-11813.08</v>
      </c>
      <c r="K405" s="25">
        <f t="shared" si="6"/>
        <v>-2912.08</v>
      </c>
    </row>
    <row r="406" spans="1:11" ht="15.95" customHeight="1" x14ac:dyDescent="0.2">
      <c r="A406" s="26" t="s">
        <v>684</v>
      </c>
      <c r="B406" s="369" t="s">
        <v>685</v>
      </c>
      <c r="C406" s="370"/>
      <c r="D406" s="370"/>
      <c r="E406" s="27">
        <v>0</v>
      </c>
      <c r="F406" s="27">
        <v>21119.7</v>
      </c>
      <c r="H406" s="27">
        <v>24442.94</v>
      </c>
      <c r="J406" s="27">
        <v>-3323.24</v>
      </c>
      <c r="K406" s="25">
        <f t="shared" si="6"/>
        <v>-3323.24</v>
      </c>
    </row>
    <row r="407" spans="1:11" ht="15.95" customHeight="1" x14ac:dyDescent="0.2">
      <c r="A407" s="28">
        <v>217</v>
      </c>
      <c r="B407" s="371" t="s">
        <v>686</v>
      </c>
      <c r="C407" s="372"/>
      <c r="D407" s="372"/>
      <c r="E407" s="29">
        <v>-4679363.9000000004</v>
      </c>
      <c r="F407" s="29">
        <v>1226222.55</v>
      </c>
      <c r="G407" s="30"/>
      <c r="H407" s="29">
        <v>394765.86</v>
      </c>
      <c r="I407" s="30"/>
      <c r="J407" s="29">
        <v>-3847907.21</v>
      </c>
      <c r="K407" s="31">
        <f t="shared" si="6"/>
        <v>831456.69000000041</v>
      </c>
    </row>
    <row r="408" spans="1:11" ht="15.95" customHeight="1" x14ac:dyDescent="0.2">
      <c r="A408" s="26">
        <v>21701</v>
      </c>
      <c r="B408" s="369" t="s">
        <v>686</v>
      </c>
      <c r="C408" s="370"/>
      <c r="D408" s="370"/>
      <c r="E408" s="27">
        <v>-4679363.9000000004</v>
      </c>
      <c r="F408" s="27">
        <v>1226222.55</v>
      </c>
      <c r="H408" s="27">
        <v>394765.86</v>
      </c>
      <c r="J408" s="27">
        <v>-3847907.21</v>
      </c>
      <c r="K408" s="25">
        <f t="shared" si="6"/>
        <v>831456.69000000041</v>
      </c>
    </row>
    <row r="409" spans="1:11" ht="15.95" customHeight="1" x14ac:dyDescent="0.2">
      <c r="A409" s="26">
        <v>2170101</v>
      </c>
      <c r="B409" s="369" t="s">
        <v>687</v>
      </c>
      <c r="C409" s="370"/>
      <c r="D409" s="370"/>
      <c r="E409" s="27">
        <v>-23810.44</v>
      </c>
      <c r="F409" s="27">
        <v>16062</v>
      </c>
      <c r="H409" s="27">
        <v>16062</v>
      </c>
      <c r="J409" s="27">
        <v>-23810.44</v>
      </c>
      <c r="K409" s="25">
        <f t="shared" si="6"/>
        <v>0</v>
      </c>
    </row>
    <row r="410" spans="1:11" ht="15.95" customHeight="1" x14ac:dyDescent="0.2">
      <c r="A410" s="26" t="s">
        <v>688</v>
      </c>
      <c r="B410" s="369" t="s">
        <v>689</v>
      </c>
      <c r="C410" s="370"/>
      <c r="D410" s="370"/>
      <c r="E410" s="27">
        <v>-6700</v>
      </c>
      <c r="F410" s="27">
        <v>0</v>
      </c>
      <c r="H410" s="27">
        <v>0</v>
      </c>
      <c r="J410" s="27">
        <v>-6700</v>
      </c>
      <c r="K410" s="25">
        <f t="shared" si="6"/>
        <v>0</v>
      </c>
    </row>
    <row r="411" spans="1:11" ht="15.95" customHeight="1" x14ac:dyDescent="0.2">
      <c r="A411" s="26" t="s">
        <v>690</v>
      </c>
      <c r="B411" s="369" t="s">
        <v>691</v>
      </c>
      <c r="C411" s="370"/>
      <c r="D411" s="370"/>
      <c r="E411" s="27">
        <v>-3115</v>
      </c>
      <c r="F411" s="27">
        <v>0</v>
      </c>
      <c r="H411" s="27">
        <v>0</v>
      </c>
      <c r="J411" s="27">
        <v>-3115</v>
      </c>
      <c r="K411" s="25">
        <f t="shared" si="6"/>
        <v>0</v>
      </c>
    </row>
    <row r="412" spans="1:11" ht="15.95" customHeight="1" x14ac:dyDescent="0.2">
      <c r="A412" s="26" t="s">
        <v>692</v>
      </c>
      <c r="B412" s="369" t="s">
        <v>693</v>
      </c>
      <c r="C412" s="370"/>
      <c r="D412" s="370"/>
      <c r="E412" s="27">
        <v>-2856</v>
      </c>
      <c r="F412" s="27">
        <v>0</v>
      </c>
      <c r="H412" s="27">
        <v>0</v>
      </c>
      <c r="J412" s="27">
        <v>-2856</v>
      </c>
      <c r="K412" s="25">
        <f t="shared" si="6"/>
        <v>0</v>
      </c>
    </row>
    <row r="413" spans="1:11" ht="15.95" customHeight="1" x14ac:dyDescent="0.2">
      <c r="A413" s="26" t="s">
        <v>694</v>
      </c>
      <c r="B413" s="369" t="s">
        <v>695</v>
      </c>
      <c r="C413" s="370"/>
      <c r="D413" s="370"/>
      <c r="E413" s="27">
        <v>-2000</v>
      </c>
      <c r="F413" s="27">
        <v>0</v>
      </c>
      <c r="H413" s="27">
        <v>0</v>
      </c>
      <c r="J413" s="27">
        <v>-2000</v>
      </c>
      <c r="K413" s="25">
        <f t="shared" si="6"/>
        <v>0</v>
      </c>
    </row>
    <row r="414" spans="1:11" ht="15.95" customHeight="1" x14ac:dyDescent="0.2">
      <c r="A414" s="26" t="s">
        <v>696</v>
      </c>
      <c r="B414" s="369" t="s">
        <v>697</v>
      </c>
      <c r="C414" s="370"/>
      <c r="D414" s="370"/>
      <c r="E414" s="27">
        <v>-5899.2</v>
      </c>
      <c r="F414" s="27">
        <v>0</v>
      </c>
      <c r="H414" s="27">
        <v>0</v>
      </c>
      <c r="J414" s="27">
        <v>-5899.2</v>
      </c>
      <c r="K414" s="25">
        <f t="shared" si="6"/>
        <v>0</v>
      </c>
    </row>
    <row r="415" spans="1:11" ht="15.95" customHeight="1" x14ac:dyDescent="0.2">
      <c r="A415" s="26" t="s">
        <v>698</v>
      </c>
      <c r="B415" s="369" t="s">
        <v>699</v>
      </c>
      <c r="C415" s="370"/>
      <c r="D415" s="370"/>
      <c r="E415" s="27">
        <v>-840.24</v>
      </c>
      <c r="F415" s="27">
        <v>0</v>
      </c>
      <c r="H415" s="27">
        <v>0</v>
      </c>
      <c r="J415" s="27">
        <v>-840.24</v>
      </c>
      <c r="K415" s="25">
        <f t="shared" si="6"/>
        <v>0</v>
      </c>
    </row>
    <row r="416" spans="1:11" ht="15.95" customHeight="1" x14ac:dyDescent="0.2">
      <c r="A416" s="26" t="s">
        <v>700</v>
      </c>
      <c r="B416" s="369" t="s">
        <v>701</v>
      </c>
      <c r="C416" s="370"/>
      <c r="D416" s="370"/>
      <c r="E416" s="27">
        <v>-2400</v>
      </c>
      <c r="F416" s="27">
        <v>16062</v>
      </c>
      <c r="H416" s="27">
        <v>16062</v>
      </c>
      <c r="J416" s="27">
        <v>-2400</v>
      </c>
      <c r="K416" s="25">
        <f t="shared" si="6"/>
        <v>0</v>
      </c>
    </row>
    <row r="417" spans="1:11" ht="15.95" customHeight="1" x14ac:dyDescent="0.2">
      <c r="A417" s="26">
        <v>2170102</v>
      </c>
      <c r="B417" s="369" t="s">
        <v>710</v>
      </c>
      <c r="C417" s="370"/>
      <c r="D417" s="370"/>
      <c r="E417" s="27">
        <v>-1870407.09</v>
      </c>
      <c r="F417" s="27">
        <v>1203001.43</v>
      </c>
      <c r="H417" s="27">
        <v>369751.19</v>
      </c>
      <c r="J417" s="27">
        <v>-1037156.85</v>
      </c>
      <c r="K417" s="25">
        <f t="shared" si="6"/>
        <v>833250.24000000011</v>
      </c>
    </row>
    <row r="418" spans="1:11" ht="15.95" customHeight="1" x14ac:dyDescent="0.2">
      <c r="A418" s="26" t="s">
        <v>711</v>
      </c>
      <c r="B418" s="369" t="s">
        <v>712</v>
      </c>
      <c r="C418" s="370"/>
      <c r="D418" s="370"/>
      <c r="E418" s="27">
        <v>-482690.42</v>
      </c>
      <c r="F418" s="27">
        <v>0</v>
      </c>
      <c r="H418" s="27">
        <v>0</v>
      </c>
      <c r="J418" s="27">
        <v>-482690.42</v>
      </c>
      <c r="K418" s="25">
        <f t="shared" si="6"/>
        <v>0</v>
      </c>
    </row>
    <row r="419" spans="1:11" ht="15.95" customHeight="1" x14ac:dyDescent="0.2">
      <c r="A419" s="26" t="s">
        <v>713</v>
      </c>
      <c r="B419" s="369" t="s">
        <v>714</v>
      </c>
      <c r="C419" s="370"/>
      <c r="D419" s="370"/>
      <c r="E419" s="27">
        <v>-34.72</v>
      </c>
      <c r="F419" s="27">
        <v>0</v>
      </c>
      <c r="H419" s="27">
        <v>0</v>
      </c>
      <c r="J419" s="27">
        <v>-34.72</v>
      </c>
      <c r="K419" s="25">
        <f t="shared" si="6"/>
        <v>0</v>
      </c>
    </row>
    <row r="420" spans="1:11" ht="15.95" customHeight="1" x14ac:dyDescent="0.2">
      <c r="A420" s="26" t="s">
        <v>715</v>
      </c>
      <c r="B420" s="369" t="s">
        <v>716</v>
      </c>
      <c r="C420" s="370"/>
      <c r="D420" s="370"/>
      <c r="E420" s="27">
        <v>-1469</v>
      </c>
      <c r="F420" s="27">
        <v>0</v>
      </c>
      <c r="H420" s="27">
        <v>10249.89</v>
      </c>
      <c r="J420" s="27">
        <v>-11718.89</v>
      </c>
      <c r="K420" s="25">
        <f t="shared" si="6"/>
        <v>-10249.89</v>
      </c>
    </row>
    <row r="421" spans="1:11" ht="15.95" customHeight="1" x14ac:dyDescent="0.2">
      <c r="A421" s="26" t="s">
        <v>717</v>
      </c>
      <c r="B421" s="369" t="s">
        <v>718</v>
      </c>
      <c r="C421" s="370"/>
      <c r="D421" s="370"/>
      <c r="E421" s="27">
        <v>-229.87</v>
      </c>
      <c r="F421" s="27">
        <v>0</v>
      </c>
      <c r="H421" s="27">
        <v>0</v>
      </c>
      <c r="J421" s="27">
        <v>-229.87</v>
      </c>
      <c r="K421" s="25">
        <f t="shared" si="6"/>
        <v>0</v>
      </c>
    </row>
    <row r="422" spans="1:11" ht="15.95" customHeight="1" x14ac:dyDescent="0.2">
      <c r="A422" s="26" t="s">
        <v>719</v>
      </c>
      <c r="B422" s="369" t="s">
        <v>720</v>
      </c>
      <c r="C422" s="370"/>
      <c r="D422" s="370"/>
      <c r="E422" s="27">
        <v>-3084.5</v>
      </c>
      <c r="F422" s="27">
        <v>0</v>
      </c>
      <c r="H422" s="27">
        <v>0</v>
      </c>
      <c r="J422" s="27">
        <v>-3084.5</v>
      </c>
      <c r="K422" s="25">
        <f t="shared" si="6"/>
        <v>0</v>
      </c>
    </row>
    <row r="423" spans="1:11" ht="15.95" customHeight="1" x14ac:dyDescent="0.2">
      <c r="A423" s="26" t="s">
        <v>721</v>
      </c>
      <c r="B423" s="369" t="s">
        <v>722</v>
      </c>
      <c r="C423" s="370"/>
      <c r="D423" s="370"/>
      <c r="E423" s="27">
        <v>-105.52</v>
      </c>
      <c r="F423" s="27">
        <v>0</v>
      </c>
      <c r="H423" s="27">
        <v>0</v>
      </c>
      <c r="J423" s="27">
        <v>-105.52</v>
      </c>
      <c r="K423" s="25">
        <f t="shared" si="6"/>
        <v>0</v>
      </c>
    </row>
    <row r="424" spans="1:11" ht="15.95" customHeight="1" x14ac:dyDescent="0.2">
      <c r="A424" s="26" t="s">
        <v>723</v>
      </c>
      <c r="B424" s="369" t="s">
        <v>724</v>
      </c>
      <c r="C424" s="370"/>
      <c r="D424" s="370"/>
      <c r="E424" s="27">
        <v>-300000</v>
      </c>
      <c r="F424" s="27">
        <v>364837.23</v>
      </c>
      <c r="H424" s="27">
        <v>64837.23</v>
      </c>
      <c r="J424" s="27">
        <v>0</v>
      </c>
      <c r="K424" s="25">
        <f t="shared" si="6"/>
        <v>300000</v>
      </c>
    </row>
    <row r="425" spans="1:11" ht="15.95" customHeight="1" x14ac:dyDescent="0.2">
      <c r="A425" s="26" t="s">
        <v>725</v>
      </c>
      <c r="B425" s="369" t="s">
        <v>726</v>
      </c>
      <c r="C425" s="370"/>
      <c r="D425" s="370"/>
      <c r="E425" s="27">
        <v>-196.05</v>
      </c>
      <c r="F425" s="27">
        <v>0</v>
      </c>
      <c r="H425" s="27">
        <v>0</v>
      </c>
      <c r="J425" s="27">
        <v>-196.05</v>
      </c>
      <c r="K425" s="25">
        <f t="shared" si="6"/>
        <v>0</v>
      </c>
    </row>
    <row r="426" spans="1:11" ht="15.95" customHeight="1" x14ac:dyDescent="0.2">
      <c r="A426" s="26" t="s">
        <v>727</v>
      </c>
      <c r="B426" s="369" t="s">
        <v>728</v>
      </c>
      <c r="C426" s="370"/>
      <c r="D426" s="370"/>
      <c r="E426" s="27">
        <v>-304.98</v>
      </c>
      <c r="F426" s="27">
        <v>0</v>
      </c>
      <c r="H426" s="27">
        <v>0</v>
      </c>
      <c r="J426" s="27">
        <v>-304.98</v>
      </c>
      <c r="K426" s="25">
        <f t="shared" si="6"/>
        <v>0</v>
      </c>
    </row>
    <row r="427" spans="1:11" ht="15.95" customHeight="1" x14ac:dyDescent="0.2">
      <c r="A427" s="26" t="s">
        <v>729</v>
      </c>
      <c r="B427" s="369" t="s">
        <v>730</v>
      </c>
      <c r="C427" s="370"/>
      <c r="D427" s="370"/>
      <c r="E427" s="27">
        <v>-6</v>
      </c>
      <c r="F427" s="27">
        <v>0</v>
      </c>
      <c r="H427" s="27">
        <v>0</v>
      </c>
      <c r="J427" s="27">
        <v>-6</v>
      </c>
      <c r="K427" s="25">
        <f t="shared" si="6"/>
        <v>0</v>
      </c>
    </row>
    <row r="428" spans="1:11" ht="15.95" customHeight="1" x14ac:dyDescent="0.2">
      <c r="A428" s="26" t="s">
        <v>731</v>
      </c>
      <c r="B428" s="369" t="s">
        <v>732</v>
      </c>
      <c r="C428" s="370"/>
      <c r="D428" s="370"/>
      <c r="E428" s="27">
        <v>-203708.46</v>
      </c>
      <c r="F428" s="27">
        <v>304193.13</v>
      </c>
      <c r="H428" s="27">
        <v>101397.11</v>
      </c>
      <c r="J428" s="27">
        <v>-912.44</v>
      </c>
      <c r="K428" s="25">
        <f t="shared" si="6"/>
        <v>202796.02</v>
      </c>
    </row>
    <row r="429" spans="1:11" ht="15.95" customHeight="1" x14ac:dyDescent="0.2">
      <c r="A429" s="26" t="s">
        <v>733</v>
      </c>
      <c r="B429" s="369" t="s">
        <v>734</v>
      </c>
      <c r="C429" s="370"/>
      <c r="D429" s="370"/>
      <c r="E429" s="27">
        <v>0</v>
      </c>
      <c r="F429" s="27">
        <v>2775.25</v>
      </c>
      <c r="H429" s="27">
        <v>3984.3</v>
      </c>
      <c r="J429" s="27">
        <v>-1209.05</v>
      </c>
      <c r="K429" s="25">
        <f t="shared" si="6"/>
        <v>-1209.05</v>
      </c>
    </row>
    <row r="430" spans="1:11" ht="15.95" customHeight="1" x14ac:dyDescent="0.2">
      <c r="A430" s="26" t="s">
        <v>735</v>
      </c>
      <c r="B430" s="369" t="s">
        <v>736</v>
      </c>
      <c r="C430" s="370"/>
      <c r="D430" s="370"/>
      <c r="E430" s="27">
        <v>-76.84</v>
      </c>
      <c r="F430" s="27">
        <v>0</v>
      </c>
      <c r="H430" s="27">
        <v>0</v>
      </c>
      <c r="J430" s="27">
        <v>-76.84</v>
      </c>
      <c r="K430" s="25">
        <f t="shared" si="6"/>
        <v>0</v>
      </c>
    </row>
    <row r="431" spans="1:11" ht="15.95" customHeight="1" x14ac:dyDescent="0.2">
      <c r="A431" s="26" t="s">
        <v>737</v>
      </c>
      <c r="B431" s="369" t="s">
        <v>738</v>
      </c>
      <c r="C431" s="370"/>
      <c r="D431" s="370"/>
      <c r="E431" s="27">
        <v>-144.33000000000001</v>
      </c>
      <c r="F431" s="27">
        <v>0</v>
      </c>
      <c r="H431" s="27">
        <v>0</v>
      </c>
      <c r="J431" s="27">
        <v>-144.33000000000001</v>
      </c>
      <c r="K431" s="25">
        <f t="shared" si="6"/>
        <v>0</v>
      </c>
    </row>
    <row r="432" spans="1:11" ht="15.95" customHeight="1" x14ac:dyDescent="0.2">
      <c r="A432" s="26" t="s">
        <v>739</v>
      </c>
      <c r="B432" s="369" t="s">
        <v>740</v>
      </c>
      <c r="C432" s="370"/>
      <c r="D432" s="370"/>
      <c r="E432" s="27">
        <v>-175.2</v>
      </c>
      <c r="F432" s="27">
        <v>0</v>
      </c>
      <c r="H432" s="27">
        <v>0</v>
      </c>
      <c r="J432" s="27">
        <v>-175.2</v>
      </c>
      <c r="K432" s="25">
        <f t="shared" si="6"/>
        <v>0</v>
      </c>
    </row>
    <row r="433" spans="1:11" ht="27.95" customHeight="1" x14ac:dyDescent="0.2">
      <c r="A433" s="26" t="s">
        <v>741</v>
      </c>
      <c r="B433" s="369" t="s">
        <v>742</v>
      </c>
      <c r="C433" s="370"/>
      <c r="D433" s="370"/>
      <c r="E433" s="27">
        <v>-436.29</v>
      </c>
      <c r="F433" s="27">
        <v>0</v>
      </c>
      <c r="H433" s="27">
        <v>0</v>
      </c>
      <c r="J433" s="27">
        <v>-436.29</v>
      </c>
      <c r="K433" s="25">
        <f t="shared" si="6"/>
        <v>0</v>
      </c>
    </row>
    <row r="434" spans="1:11" ht="15.95" customHeight="1" x14ac:dyDescent="0.2">
      <c r="A434" s="26" t="s">
        <v>743</v>
      </c>
      <c r="B434" s="369" t="s">
        <v>744</v>
      </c>
      <c r="C434" s="370"/>
      <c r="D434" s="370"/>
      <c r="E434" s="27">
        <v>-67.010000000000005</v>
      </c>
      <c r="F434" s="27">
        <v>0</v>
      </c>
      <c r="H434" s="27">
        <v>0</v>
      </c>
      <c r="J434" s="27">
        <v>-67.010000000000005</v>
      </c>
      <c r="K434" s="25">
        <f t="shared" si="6"/>
        <v>0</v>
      </c>
    </row>
    <row r="435" spans="1:11" ht="15.95" customHeight="1" x14ac:dyDescent="0.2">
      <c r="A435" s="26" t="s">
        <v>745</v>
      </c>
      <c r="B435" s="369" t="s">
        <v>746</v>
      </c>
      <c r="C435" s="370"/>
      <c r="D435" s="370"/>
      <c r="E435" s="27">
        <v>-4644.84</v>
      </c>
      <c r="F435" s="27">
        <v>0</v>
      </c>
      <c r="H435" s="27">
        <v>0</v>
      </c>
      <c r="J435" s="27">
        <v>-4644.84</v>
      </c>
      <c r="K435" s="25">
        <f t="shared" si="6"/>
        <v>0</v>
      </c>
    </row>
    <row r="436" spans="1:11" ht="15.95" customHeight="1" x14ac:dyDescent="0.2">
      <c r="A436" s="26" t="s">
        <v>747</v>
      </c>
      <c r="B436" s="369" t="s">
        <v>748</v>
      </c>
      <c r="C436" s="370"/>
      <c r="D436" s="370"/>
      <c r="E436" s="27">
        <v>-423.16</v>
      </c>
      <c r="F436" s="27">
        <v>0</v>
      </c>
      <c r="H436" s="27">
        <v>0</v>
      </c>
      <c r="J436" s="27">
        <v>-423.16</v>
      </c>
      <c r="K436" s="25">
        <f t="shared" si="6"/>
        <v>0</v>
      </c>
    </row>
    <row r="437" spans="1:11" ht="15.95" customHeight="1" x14ac:dyDescent="0.2">
      <c r="A437" s="26" t="s">
        <v>749</v>
      </c>
      <c r="B437" s="369" t="s">
        <v>750</v>
      </c>
      <c r="C437" s="370"/>
      <c r="D437" s="370"/>
      <c r="E437" s="27">
        <v>-904.46</v>
      </c>
      <c r="F437" s="27">
        <v>0</v>
      </c>
      <c r="H437" s="27">
        <v>0</v>
      </c>
      <c r="J437" s="27">
        <v>-904.46</v>
      </c>
      <c r="K437" s="25">
        <f t="shared" si="6"/>
        <v>0</v>
      </c>
    </row>
    <row r="438" spans="1:11" ht="15.95" customHeight="1" x14ac:dyDescent="0.2">
      <c r="A438" s="26" t="s">
        <v>751</v>
      </c>
      <c r="B438" s="369" t="s">
        <v>752</v>
      </c>
      <c r="C438" s="370"/>
      <c r="D438" s="370"/>
      <c r="E438" s="27">
        <v>-76.56</v>
      </c>
      <c r="F438" s="27">
        <v>0</v>
      </c>
      <c r="H438" s="27">
        <v>0</v>
      </c>
      <c r="J438" s="27">
        <v>-76.56</v>
      </c>
      <c r="K438" s="25">
        <f t="shared" si="6"/>
        <v>0</v>
      </c>
    </row>
    <row r="439" spans="1:11" ht="15.95" customHeight="1" x14ac:dyDescent="0.2">
      <c r="A439" s="26" t="s">
        <v>753</v>
      </c>
      <c r="B439" s="369" t="s">
        <v>754</v>
      </c>
      <c r="C439" s="370"/>
      <c r="D439" s="370"/>
      <c r="E439" s="27">
        <v>-2843.92</v>
      </c>
      <c r="F439" s="27">
        <v>0</v>
      </c>
      <c r="H439" s="27">
        <v>0</v>
      </c>
      <c r="J439" s="27">
        <v>-2843.92</v>
      </c>
      <c r="K439" s="25">
        <f t="shared" si="6"/>
        <v>0</v>
      </c>
    </row>
    <row r="440" spans="1:11" ht="15.95" customHeight="1" x14ac:dyDescent="0.2">
      <c r="A440" s="26" t="s">
        <v>755</v>
      </c>
      <c r="B440" s="369" t="s">
        <v>756</v>
      </c>
      <c r="C440" s="370"/>
      <c r="D440" s="370"/>
      <c r="E440" s="27">
        <v>-274.92</v>
      </c>
      <c r="F440" s="27">
        <v>0</v>
      </c>
      <c r="H440" s="27">
        <v>0</v>
      </c>
      <c r="J440" s="27">
        <v>-274.92</v>
      </c>
      <c r="K440" s="25">
        <f t="shared" si="6"/>
        <v>0</v>
      </c>
    </row>
    <row r="441" spans="1:11" ht="15.95" customHeight="1" x14ac:dyDescent="0.2">
      <c r="A441" s="26" t="s">
        <v>757</v>
      </c>
      <c r="B441" s="369" t="s">
        <v>758</v>
      </c>
      <c r="C441" s="370"/>
      <c r="D441" s="370"/>
      <c r="E441" s="27">
        <v>-247</v>
      </c>
      <c r="F441" s="27">
        <v>0</v>
      </c>
      <c r="H441" s="27">
        <v>0</v>
      </c>
      <c r="J441" s="27">
        <v>-247</v>
      </c>
      <c r="K441" s="25">
        <f t="shared" si="6"/>
        <v>0</v>
      </c>
    </row>
    <row r="442" spans="1:11" ht="15.95" customHeight="1" x14ac:dyDescent="0.2">
      <c r="A442" s="26" t="s">
        <v>759</v>
      </c>
      <c r="B442" s="369" t="s">
        <v>760</v>
      </c>
      <c r="C442" s="370"/>
      <c r="D442" s="370"/>
      <c r="E442" s="27">
        <v>-22698.47</v>
      </c>
      <c r="F442" s="27">
        <v>0</v>
      </c>
      <c r="H442" s="27">
        <v>0</v>
      </c>
      <c r="J442" s="27">
        <v>-22698.47</v>
      </c>
      <c r="K442" s="25">
        <f t="shared" si="6"/>
        <v>0</v>
      </c>
    </row>
    <row r="443" spans="1:11" ht="15.95" customHeight="1" x14ac:dyDescent="0.2">
      <c r="A443" s="26" t="s">
        <v>761</v>
      </c>
      <c r="B443" s="369" t="s">
        <v>762</v>
      </c>
      <c r="C443" s="370"/>
      <c r="D443" s="370"/>
      <c r="E443" s="27">
        <v>-338.57</v>
      </c>
      <c r="F443" s="27">
        <v>0</v>
      </c>
      <c r="H443" s="27">
        <v>0</v>
      </c>
      <c r="J443" s="27">
        <v>-338.57</v>
      </c>
      <c r="K443" s="25">
        <f t="shared" si="6"/>
        <v>0</v>
      </c>
    </row>
    <row r="444" spans="1:11" ht="15.95" customHeight="1" x14ac:dyDescent="0.2">
      <c r="A444" s="26" t="s">
        <v>763</v>
      </c>
      <c r="B444" s="369" t="s">
        <v>764</v>
      </c>
      <c r="C444" s="370"/>
      <c r="D444" s="370"/>
      <c r="E444" s="27">
        <v>-111.7</v>
      </c>
      <c r="F444" s="27">
        <v>0</v>
      </c>
      <c r="H444" s="27">
        <v>0</v>
      </c>
      <c r="J444" s="27">
        <v>-111.7</v>
      </c>
      <c r="K444" s="25">
        <f t="shared" si="6"/>
        <v>0</v>
      </c>
    </row>
    <row r="445" spans="1:11" ht="15.95" customHeight="1" x14ac:dyDescent="0.2">
      <c r="A445" s="26" t="s">
        <v>765</v>
      </c>
      <c r="B445" s="369" t="s">
        <v>766</v>
      </c>
      <c r="C445" s="370"/>
      <c r="D445" s="370"/>
      <c r="E445" s="27">
        <v>-3215.85</v>
      </c>
      <c r="F445" s="27">
        <v>0</v>
      </c>
      <c r="H445" s="27">
        <v>0</v>
      </c>
      <c r="J445" s="27">
        <v>-3215.85</v>
      </c>
      <c r="K445" s="25">
        <f t="shared" si="6"/>
        <v>0</v>
      </c>
    </row>
    <row r="446" spans="1:11" ht="15.95" customHeight="1" x14ac:dyDescent="0.2">
      <c r="A446" s="26" t="s">
        <v>767</v>
      </c>
      <c r="B446" s="369" t="s">
        <v>768</v>
      </c>
      <c r="C446" s="370"/>
      <c r="D446" s="370"/>
      <c r="E446" s="27">
        <v>-861.9</v>
      </c>
      <c r="F446" s="27">
        <v>0</v>
      </c>
      <c r="H446" s="27">
        <v>0</v>
      </c>
      <c r="J446" s="27">
        <v>-861.9</v>
      </c>
      <c r="K446" s="25">
        <f t="shared" si="6"/>
        <v>0</v>
      </c>
    </row>
    <row r="447" spans="1:11" ht="15.95" customHeight="1" x14ac:dyDescent="0.2">
      <c r="A447" s="26" t="s">
        <v>769</v>
      </c>
      <c r="B447" s="369" t="s">
        <v>770</v>
      </c>
      <c r="C447" s="370"/>
      <c r="D447" s="370"/>
      <c r="E447" s="27">
        <v>-2028.49</v>
      </c>
      <c r="F447" s="27">
        <v>0</v>
      </c>
      <c r="H447" s="27">
        <v>0</v>
      </c>
      <c r="J447" s="27">
        <v>-2028.49</v>
      </c>
      <c r="K447" s="25">
        <f t="shared" si="6"/>
        <v>0</v>
      </c>
    </row>
    <row r="448" spans="1:11" ht="15.95" customHeight="1" x14ac:dyDescent="0.2">
      <c r="A448" s="26" t="s">
        <v>771</v>
      </c>
      <c r="B448" s="369" t="s">
        <v>772</v>
      </c>
      <c r="C448" s="370"/>
      <c r="D448" s="370"/>
      <c r="E448" s="27">
        <v>-1261.4000000000001</v>
      </c>
      <c r="F448" s="27">
        <v>0</v>
      </c>
      <c r="H448" s="27">
        <v>0</v>
      </c>
      <c r="J448" s="27">
        <v>-1261.4000000000001</v>
      </c>
      <c r="K448" s="25">
        <f t="shared" si="6"/>
        <v>0</v>
      </c>
    </row>
    <row r="449" spans="1:11" ht="15.95" customHeight="1" x14ac:dyDescent="0.2">
      <c r="A449" s="26" t="s">
        <v>773</v>
      </c>
      <c r="B449" s="369" t="s">
        <v>774</v>
      </c>
      <c r="C449" s="370"/>
      <c r="D449" s="370"/>
      <c r="E449" s="27">
        <v>-5180.93</v>
      </c>
      <c r="F449" s="27">
        <v>0</v>
      </c>
      <c r="H449" s="27">
        <v>0</v>
      </c>
      <c r="J449" s="27">
        <v>-5180.93</v>
      </c>
      <c r="K449" s="25">
        <f t="shared" si="6"/>
        <v>0</v>
      </c>
    </row>
    <row r="450" spans="1:11" ht="15.95" customHeight="1" x14ac:dyDescent="0.2">
      <c r="A450" s="26" t="s">
        <v>775</v>
      </c>
      <c r="B450" s="369" t="s">
        <v>776</v>
      </c>
      <c r="C450" s="370"/>
      <c r="D450" s="370"/>
      <c r="E450" s="27">
        <v>-206.2</v>
      </c>
      <c r="F450" s="27">
        <v>0</v>
      </c>
      <c r="H450" s="27">
        <v>0</v>
      </c>
      <c r="J450" s="27">
        <v>-206.2</v>
      </c>
      <c r="K450" s="25">
        <f t="shared" si="6"/>
        <v>0</v>
      </c>
    </row>
    <row r="451" spans="1:11" ht="15.95" customHeight="1" x14ac:dyDescent="0.2">
      <c r="A451" s="26" t="s">
        <v>777</v>
      </c>
      <c r="B451" s="369" t="s">
        <v>778</v>
      </c>
      <c r="C451" s="370"/>
      <c r="D451" s="370"/>
      <c r="E451" s="27">
        <v>-608.96</v>
      </c>
      <c r="F451" s="27">
        <v>0</v>
      </c>
      <c r="H451" s="27">
        <v>0</v>
      </c>
      <c r="J451" s="27">
        <v>-608.96</v>
      </c>
      <c r="K451" s="25">
        <f t="shared" ref="K451:K514" si="7">J451-E451</f>
        <v>0</v>
      </c>
    </row>
    <row r="452" spans="1:11" ht="15.95" customHeight="1" x14ac:dyDescent="0.2">
      <c r="A452" s="26" t="s">
        <v>779</v>
      </c>
      <c r="B452" s="369" t="s">
        <v>780</v>
      </c>
      <c r="C452" s="370"/>
      <c r="D452" s="370"/>
      <c r="E452" s="27">
        <v>-156.04</v>
      </c>
      <c r="F452" s="27">
        <v>0</v>
      </c>
      <c r="H452" s="27">
        <v>0</v>
      </c>
      <c r="J452" s="27">
        <v>-156.04</v>
      </c>
      <c r="K452" s="25">
        <f t="shared" si="7"/>
        <v>0</v>
      </c>
    </row>
    <row r="453" spans="1:11" ht="15.95" customHeight="1" x14ac:dyDescent="0.2">
      <c r="A453" s="26" t="s">
        <v>781</v>
      </c>
      <c r="B453" s="369" t="s">
        <v>782</v>
      </c>
      <c r="C453" s="370"/>
      <c r="D453" s="370"/>
      <c r="E453" s="27">
        <v>-109.84</v>
      </c>
      <c r="F453" s="27">
        <v>0</v>
      </c>
      <c r="H453" s="27">
        <v>0</v>
      </c>
      <c r="J453" s="27">
        <v>-109.84</v>
      </c>
      <c r="K453" s="25">
        <f t="shared" si="7"/>
        <v>0</v>
      </c>
    </row>
    <row r="454" spans="1:11" ht="15.95" customHeight="1" x14ac:dyDescent="0.2">
      <c r="A454" s="26" t="s">
        <v>783</v>
      </c>
      <c r="B454" s="369" t="s">
        <v>784</v>
      </c>
      <c r="C454" s="370"/>
      <c r="D454" s="370"/>
      <c r="E454" s="27">
        <v>-683.35</v>
      </c>
      <c r="F454" s="27">
        <v>0</v>
      </c>
      <c r="H454" s="27">
        <v>0</v>
      </c>
      <c r="J454" s="27">
        <v>-683.35</v>
      </c>
      <c r="K454" s="25">
        <f t="shared" si="7"/>
        <v>0</v>
      </c>
    </row>
    <row r="455" spans="1:11" ht="15.95" customHeight="1" x14ac:dyDescent="0.2">
      <c r="A455" s="26" t="s">
        <v>785</v>
      </c>
      <c r="B455" s="369" t="s">
        <v>786</v>
      </c>
      <c r="C455" s="370"/>
      <c r="D455" s="370"/>
      <c r="E455" s="27">
        <v>-27</v>
      </c>
      <c r="F455" s="27">
        <v>5954.3</v>
      </c>
      <c r="H455" s="27">
        <v>5954.3</v>
      </c>
      <c r="J455" s="27">
        <v>-27</v>
      </c>
      <c r="K455" s="25">
        <f t="shared" si="7"/>
        <v>0</v>
      </c>
    </row>
    <row r="456" spans="1:11" ht="15.95" customHeight="1" x14ac:dyDescent="0.2">
      <c r="A456" s="26" t="s">
        <v>787</v>
      </c>
      <c r="B456" s="369" t="s">
        <v>788</v>
      </c>
      <c r="C456" s="370"/>
      <c r="D456" s="370"/>
      <c r="E456" s="27">
        <v>-45.32</v>
      </c>
      <c r="F456" s="27">
        <v>0</v>
      </c>
      <c r="H456" s="27">
        <v>0</v>
      </c>
      <c r="J456" s="27">
        <v>-45.32</v>
      </c>
      <c r="K456" s="25">
        <f t="shared" si="7"/>
        <v>0</v>
      </c>
    </row>
    <row r="457" spans="1:11" ht="15.95" customHeight="1" x14ac:dyDescent="0.2">
      <c r="A457" s="26" t="s">
        <v>789</v>
      </c>
      <c r="B457" s="369" t="s">
        <v>790</v>
      </c>
      <c r="C457" s="370"/>
      <c r="D457" s="370"/>
      <c r="E457" s="27">
        <v>-120.7</v>
      </c>
      <c r="F457" s="27">
        <v>0</v>
      </c>
      <c r="H457" s="27">
        <v>0</v>
      </c>
      <c r="J457" s="27">
        <v>-120.7</v>
      </c>
      <c r="K457" s="25">
        <f t="shared" si="7"/>
        <v>0</v>
      </c>
    </row>
    <row r="458" spans="1:11" ht="15.95" customHeight="1" x14ac:dyDescent="0.2">
      <c r="A458" s="26" t="s">
        <v>791</v>
      </c>
      <c r="B458" s="369" t="s">
        <v>792</v>
      </c>
      <c r="C458" s="370"/>
      <c r="D458" s="370"/>
      <c r="E458" s="27">
        <v>-674.65</v>
      </c>
      <c r="F458" s="27">
        <v>0</v>
      </c>
      <c r="H458" s="27">
        <v>0</v>
      </c>
      <c r="J458" s="27">
        <v>-674.65</v>
      </c>
      <c r="K458" s="25">
        <f t="shared" si="7"/>
        <v>0</v>
      </c>
    </row>
    <row r="459" spans="1:11" ht="15.95" customHeight="1" x14ac:dyDescent="0.2">
      <c r="A459" s="26" t="s">
        <v>793</v>
      </c>
      <c r="B459" s="369" t="s">
        <v>794</v>
      </c>
      <c r="C459" s="370"/>
      <c r="D459" s="370"/>
      <c r="E459" s="27">
        <v>-761.21</v>
      </c>
      <c r="F459" s="27">
        <v>0</v>
      </c>
      <c r="H459" s="27">
        <v>0</v>
      </c>
      <c r="J459" s="27">
        <v>-761.21</v>
      </c>
      <c r="K459" s="25">
        <f t="shared" si="7"/>
        <v>0</v>
      </c>
    </row>
    <row r="460" spans="1:11" ht="15.95" customHeight="1" x14ac:dyDescent="0.2">
      <c r="A460" s="26" t="s">
        <v>795</v>
      </c>
      <c r="B460" s="369" t="s">
        <v>796</v>
      </c>
      <c r="C460" s="370"/>
      <c r="D460" s="370"/>
      <c r="E460" s="27">
        <v>-44.62</v>
      </c>
      <c r="F460" s="27">
        <v>0</v>
      </c>
      <c r="H460" s="27">
        <v>0</v>
      </c>
      <c r="J460" s="27">
        <v>-44.62</v>
      </c>
      <c r="K460" s="25">
        <f t="shared" si="7"/>
        <v>0</v>
      </c>
    </row>
    <row r="461" spans="1:11" ht="15.95" customHeight="1" x14ac:dyDescent="0.2">
      <c r="A461" s="26" t="s">
        <v>797</v>
      </c>
      <c r="B461" s="369" t="s">
        <v>798</v>
      </c>
      <c r="C461" s="370"/>
      <c r="D461" s="370"/>
      <c r="E461" s="27">
        <v>-210.27</v>
      </c>
      <c r="F461" s="27">
        <v>0</v>
      </c>
      <c r="H461" s="27">
        <v>0</v>
      </c>
      <c r="J461" s="27">
        <v>-210.27</v>
      </c>
      <c r="K461" s="25">
        <f t="shared" si="7"/>
        <v>0</v>
      </c>
    </row>
    <row r="462" spans="1:11" ht="15.95" customHeight="1" x14ac:dyDescent="0.2">
      <c r="A462" s="26" t="s">
        <v>799</v>
      </c>
      <c r="B462" s="369" t="s">
        <v>800</v>
      </c>
      <c r="C462" s="370"/>
      <c r="D462" s="370"/>
      <c r="E462" s="27">
        <v>-2590.5</v>
      </c>
      <c r="F462" s="27">
        <v>0</v>
      </c>
      <c r="H462" s="27">
        <v>0</v>
      </c>
      <c r="J462" s="27">
        <v>-2590.5</v>
      </c>
      <c r="K462" s="25">
        <f t="shared" si="7"/>
        <v>0</v>
      </c>
    </row>
    <row r="463" spans="1:11" ht="15.95" customHeight="1" x14ac:dyDescent="0.2">
      <c r="A463" s="26" t="s">
        <v>801</v>
      </c>
      <c r="B463" s="369" t="s">
        <v>802</v>
      </c>
      <c r="C463" s="370"/>
      <c r="D463" s="370"/>
      <c r="E463" s="27">
        <v>-57.77</v>
      </c>
      <c r="F463" s="27">
        <v>0</v>
      </c>
      <c r="H463" s="27">
        <v>0</v>
      </c>
      <c r="J463" s="27">
        <v>-57.77</v>
      </c>
      <c r="K463" s="25">
        <f t="shared" si="7"/>
        <v>0</v>
      </c>
    </row>
    <row r="464" spans="1:11" ht="15.95" customHeight="1" x14ac:dyDescent="0.2">
      <c r="A464" s="26" t="s">
        <v>803</v>
      </c>
      <c r="B464" s="369" t="s">
        <v>804</v>
      </c>
      <c r="C464" s="370"/>
      <c r="D464" s="370"/>
      <c r="E464" s="27">
        <v>-384.27</v>
      </c>
      <c r="F464" s="27">
        <v>0</v>
      </c>
      <c r="H464" s="27">
        <v>0</v>
      </c>
      <c r="J464" s="27">
        <v>-384.27</v>
      </c>
      <c r="K464" s="25">
        <f t="shared" si="7"/>
        <v>0</v>
      </c>
    </row>
    <row r="465" spans="1:11" ht="15.95" customHeight="1" x14ac:dyDescent="0.2">
      <c r="A465" s="26" t="s">
        <v>805</v>
      </c>
      <c r="B465" s="369" t="s">
        <v>806</v>
      </c>
      <c r="C465" s="370"/>
      <c r="D465" s="370"/>
      <c r="E465" s="27">
        <v>-35.020000000000003</v>
      </c>
      <c r="F465" s="27">
        <v>0</v>
      </c>
      <c r="H465" s="27">
        <v>0</v>
      </c>
      <c r="J465" s="27">
        <v>-35.020000000000003</v>
      </c>
      <c r="K465" s="25">
        <f t="shared" si="7"/>
        <v>0</v>
      </c>
    </row>
    <row r="466" spans="1:11" ht="15.95" customHeight="1" x14ac:dyDescent="0.2">
      <c r="A466" s="26" t="s">
        <v>807</v>
      </c>
      <c r="B466" s="369" t="s">
        <v>808</v>
      </c>
      <c r="C466" s="370"/>
      <c r="D466" s="370"/>
      <c r="E466" s="27">
        <v>-2538.48</v>
      </c>
      <c r="F466" s="27">
        <v>0</v>
      </c>
      <c r="H466" s="27">
        <v>0</v>
      </c>
      <c r="J466" s="27">
        <v>-2538.48</v>
      </c>
      <c r="K466" s="25">
        <f t="shared" si="7"/>
        <v>0</v>
      </c>
    </row>
    <row r="467" spans="1:11" ht="15.95" customHeight="1" x14ac:dyDescent="0.2">
      <c r="A467" s="26" t="s">
        <v>809</v>
      </c>
      <c r="B467" s="369" t="s">
        <v>810</v>
      </c>
      <c r="C467" s="370"/>
      <c r="D467" s="370"/>
      <c r="E467" s="27">
        <v>-64.599999999999994</v>
      </c>
      <c r="F467" s="27">
        <v>0</v>
      </c>
      <c r="H467" s="27">
        <v>0</v>
      </c>
      <c r="J467" s="27">
        <v>-64.599999999999994</v>
      </c>
      <c r="K467" s="25">
        <f t="shared" si="7"/>
        <v>0</v>
      </c>
    </row>
    <row r="468" spans="1:11" ht="15.95" customHeight="1" x14ac:dyDescent="0.2">
      <c r="A468" s="26" t="s">
        <v>811</v>
      </c>
      <c r="B468" s="369" t="s">
        <v>812</v>
      </c>
      <c r="C468" s="370"/>
      <c r="D468" s="370"/>
      <c r="E468" s="27">
        <v>-410.25</v>
      </c>
      <c r="F468" s="27">
        <v>0</v>
      </c>
      <c r="H468" s="27">
        <v>0</v>
      </c>
      <c r="J468" s="27">
        <v>-410.25</v>
      </c>
      <c r="K468" s="25">
        <f t="shared" si="7"/>
        <v>0</v>
      </c>
    </row>
    <row r="469" spans="1:11" ht="15.95" customHeight="1" x14ac:dyDescent="0.2">
      <c r="A469" s="26" t="s">
        <v>813</v>
      </c>
      <c r="B469" s="369" t="s">
        <v>814</v>
      </c>
      <c r="C469" s="370"/>
      <c r="D469" s="370"/>
      <c r="E469" s="27">
        <v>-49.5</v>
      </c>
      <c r="F469" s="27">
        <v>0</v>
      </c>
      <c r="H469" s="27">
        <v>0</v>
      </c>
      <c r="J469" s="27">
        <v>-49.5</v>
      </c>
      <c r="K469" s="25">
        <f t="shared" si="7"/>
        <v>0</v>
      </c>
    </row>
    <row r="470" spans="1:11" ht="15.95" customHeight="1" x14ac:dyDescent="0.2">
      <c r="A470" s="26" t="s">
        <v>815</v>
      </c>
      <c r="B470" s="369" t="s">
        <v>816</v>
      </c>
      <c r="C470" s="370"/>
      <c r="D470" s="370"/>
      <c r="E470" s="27">
        <v>-228.66</v>
      </c>
      <c r="F470" s="27">
        <v>0</v>
      </c>
      <c r="H470" s="27">
        <v>0</v>
      </c>
      <c r="J470" s="27">
        <v>-228.66</v>
      </c>
      <c r="K470" s="25">
        <f t="shared" si="7"/>
        <v>0</v>
      </c>
    </row>
    <row r="471" spans="1:11" ht="15.95" customHeight="1" x14ac:dyDescent="0.2">
      <c r="A471" s="26" t="s">
        <v>817</v>
      </c>
      <c r="B471" s="369" t="s">
        <v>818</v>
      </c>
      <c r="C471" s="370"/>
      <c r="D471" s="370"/>
      <c r="E471" s="27">
        <v>-145.24</v>
      </c>
      <c r="F471" s="27">
        <v>0</v>
      </c>
      <c r="H471" s="27">
        <v>0</v>
      </c>
      <c r="J471" s="27">
        <v>-145.24</v>
      </c>
      <c r="K471" s="25">
        <f t="shared" si="7"/>
        <v>0</v>
      </c>
    </row>
    <row r="472" spans="1:11" ht="15.95" customHeight="1" x14ac:dyDescent="0.2">
      <c r="A472" s="26" t="s">
        <v>819</v>
      </c>
      <c r="B472" s="369" t="s">
        <v>820</v>
      </c>
      <c r="C472" s="370"/>
      <c r="D472" s="370"/>
      <c r="E472" s="27">
        <v>-515.5</v>
      </c>
      <c r="F472" s="27">
        <v>0</v>
      </c>
      <c r="H472" s="27">
        <v>0</v>
      </c>
      <c r="J472" s="27">
        <v>-515.5</v>
      </c>
      <c r="K472" s="25">
        <f t="shared" si="7"/>
        <v>0</v>
      </c>
    </row>
    <row r="473" spans="1:11" ht="15.95" customHeight="1" x14ac:dyDescent="0.2">
      <c r="A473" s="26" t="s">
        <v>821</v>
      </c>
      <c r="B473" s="369" t="s">
        <v>822</v>
      </c>
      <c r="C473" s="370"/>
      <c r="D473" s="370"/>
      <c r="E473" s="27">
        <v>-22.51</v>
      </c>
      <c r="F473" s="27">
        <v>0</v>
      </c>
      <c r="H473" s="27">
        <v>0</v>
      </c>
      <c r="J473" s="27">
        <v>-22.51</v>
      </c>
      <c r="K473" s="25">
        <f t="shared" si="7"/>
        <v>0</v>
      </c>
    </row>
    <row r="474" spans="1:11" ht="15.95" customHeight="1" x14ac:dyDescent="0.2">
      <c r="A474" s="26" t="s">
        <v>823</v>
      </c>
      <c r="B474" s="369" t="s">
        <v>824</v>
      </c>
      <c r="C474" s="370"/>
      <c r="D474" s="370"/>
      <c r="E474" s="27">
        <v>-10</v>
      </c>
      <c r="F474" s="27">
        <v>0</v>
      </c>
      <c r="H474" s="27">
        <v>0</v>
      </c>
      <c r="J474" s="27">
        <v>-10</v>
      </c>
      <c r="K474" s="25">
        <f t="shared" si="7"/>
        <v>0</v>
      </c>
    </row>
    <row r="475" spans="1:11" ht="15.95" customHeight="1" x14ac:dyDescent="0.2">
      <c r="A475" s="26" t="s">
        <v>825</v>
      </c>
      <c r="B475" s="369" t="s">
        <v>826</v>
      </c>
      <c r="C475" s="370"/>
      <c r="D475" s="370"/>
      <c r="E475" s="27">
        <v>-98.32</v>
      </c>
      <c r="F475" s="27">
        <v>0</v>
      </c>
      <c r="H475" s="27">
        <v>0</v>
      </c>
      <c r="J475" s="27">
        <v>-98.32</v>
      </c>
      <c r="K475" s="25">
        <f t="shared" si="7"/>
        <v>0</v>
      </c>
    </row>
    <row r="476" spans="1:11" ht="15.95" customHeight="1" x14ac:dyDescent="0.2">
      <c r="A476" s="26" t="s">
        <v>827</v>
      </c>
      <c r="B476" s="369" t="s">
        <v>828</v>
      </c>
      <c r="C476" s="370"/>
      <c r="D476" s="370"/>
      <c r="E476" s="27">
        <v>-21.62</v>
      </c>
      <c r="F476" s="27">
        <v>0</v>
      </c>
      <c r="H476" s="27">
        <v>0</v>
      </c>
      <c r="J476" s="27">
        <v>-21.62</v>
      </c>
      <c r="K476" s="25">
        <f t="shared" si="7"/>
        <v>0</v>
      </c>
    </row>
    <row r="477" spans="1:11" ht="15.95" customHeight="1" x14ac:dyDescent="0.2">
      <c r="A477" s="26" t="s">
        <v>829</v>
      </c>
      <c r="B477" s="369" t="s">
        <v>830</v>
      </c>
      <c r="C477" s="370"/>
      <c r="D477" s="370"/>
      <c r="E477" s="27">
        <v>-1274.77</v>
      </c>
      <c r="F477" s="27">
        <v>0</v>
      </c>
      <c r="H477" s="27">
        <v>0</v>
      </c>
      <c r="J477" s="27">
        <v>-1274.77</v>
      </c>
      <c r="K477" s="25">
        <f t="shared" si="7"/>
        <v>0</v>
      </c>
    </row>
    <row r="478" spans="1:11" ht="15.95" customHeight="1" x14ac:dyDescent="0.2">
      <c r="A478" s="26" t="s">
        <v>831</v>
      </c>
      <c r="B478" s="369" t="s">
        <v>832</v>
      </c>
      <c r="C478" s="370"/>
      <c r="D478" s="370"/>
      <c r="E478" s="27">
        <v>-170009.81</v>
      </c>
      <c r="F478" s="27">
        <v>0</v>
      </c>
      <c r="H478" s="27">
        <v>0</v>
      </c>
      <c r="J478" s="27">
        <v>-170009.81</v>
      </c>
      <c r="K478" s="25">
        <f t="shared" si="7"/>
        <v>0</v>
      </c>
    </row>
    <row r="479" spans="1:11" ht="15.95" customHeight="1" x14ac:dyDescent="0.2">
      <c r="A479" s="26" t="s">
        <v>833</v>
      </c>
      <c r="B479" s="369" t="s">
        <v>834</v>
      </c>
      <c r="C479" s="370"/>
      <c r="D479" s="370"/>
      <c r="E479" s="27">
        <v>-268.06</v>
      </c>
      <c r="F479" s="27">
        <v>0</v>
      </c>
      <c r="H479" s="27">
        <v>0</v>
      </c>
      <c r="J479" s="27">
        <v>-268.06</v>
      </c>
      <c r="K479" s="25">
        <f t="shared" si="7"/>
        <v>0</v>
      </c>
    </row>
    <row r="480" spans="1:11" ht="15.95" customHeight="1" x14ac:dyDescent="0.2">
      <c r="A480" s="26" t="s">
        <v>835</v>
      </c>
      <c r="B480" s="369" t="s">
        <v>836</v>
      </c>
      <c r="C480" s="370"/>
      <c r="D480" s="370"/>
      <c r="E480" s="27">
        <v>-394.41</v>
      </c>
      <c r="F480" s="27">
        <v>0</v>
      </c>
      <c r="H480" s="27">
        <v>0</v>
      </c>
      <c r="J480" s="27">
        <v>-394.41</v>
      </c>
      <c r="K480" s="25">
        <f t="shared" si="7"/>
        <v>0</v>
      </c>
    </row>
    <row r="481" spans="1:11" ht="15.95" customHeight="1" x14ac:dyDescent="0.2">
      <c r="A481" s="26" t="s">
        <v>837</v>
      </c>
      <c r="B481" s="369" t="s">
        <v>838</v>
      </c>
      <c r="C481" s="370"/>
      <c r="D481" s="370"/>
      <c r="E481" s="27">
        <v>-140.36000000000001</v>
      </c>
      <c r="F481" s="27">
        <v>0</v>
      </c>
      <c r="H481" s="27">
        <v>0</v>
      </c>
      <c r="J481" s="27">
        <v>-140.36000000000001</v>
      </c>
      <c r="K481" s="25">
        <f t="shared" si="7"/>
        <v>0</v>
      </c>
    </row>
    <row r="482" spans="1:11" ht="15.95" customHeight="1" x14ac:dyDescent="0.2">
      <c r="A482" s="26" t="s">
        <v>839</v>
      </c>
      <c r="B482" s="369" t="s">
        <v>840</v>
      </c>
      <c r="C482" s="370"/>
      <c r="D482" s="370"/>
      <c r="E482" s="27">
        <v>-29.76</v>
      </c>
      <c r="F482" s="27">
        <v>0</v>
      </c>
      <c r="H482" s="27">
        <v>0</v>
      </c>
      <c r="J482" s="27">
        <v>-29.76</v>
      </c>
      <c r="K482" s="25">
        <f t="shared" si="7"/>
        <v>0</v>
      </c>
    </row>
    <row r="483" spans="1:11" ht="15.95" customHeight="1" x14ac:dyDescent="0.2">
      <c r="A483" s="26" t="s">
        <v>841</v>
      </c>
      <c r="B483" s="369" t="s">
        <v>842</v>
      </c>
      <c r="C483" s="370"/>
      <c r="D483" s="370"/>
      <c r="E483" s="27">
        <v>-151.47999999999999</v>
      </c>
      <c r="F483" s="27">
        <v>0</v>
      </c>
      <c r="H483" s="27">
        <v>0</v>
      </c>
      <c r="J483" s="27">
        <v>-151.47999999999999</v>
      </c>
      <c r="K483" s="25">
        <f t="shared" si="7"/>
        <v>0</v>
      </c>
    </row>
    <row r="484" spans="1:11" ht="15.95" customHeight="1" x14ac:dyDescent="0.2">
      <c r="A484" s="26" t="s">
        <v>843</v>
      </c>
      <c r="B484" s="369" t="s">
        <v>844</v>
      </c>
      <c r="C484" s="370"/>
      <c r="D484" s="370"/>
      <c r="E484" s="27">
        <v>-11402.28</v>
      </c>
      <c r="F484" s="27">
        <v>0</v>
      </c>
      <c r="H484" s="27">
        <v>0</v>
      </c>
      <c r="J484" s="27">
        <v>-11402.28</v>
      </c>
      <c r="K484" s="25">
        <f t="shared" si="7"/>
        <v>0</v>
      </c>
    </row>
    <row r="485" spans="1:11" ht="15.95" customHeight="1" x14ac:dyDescent="0.2">
      <c r="A485" s="26" t="s">
        <v>847</v>
      </c>
      <c r="B485" s="369" t="s">
        <v>848</v>
      </c>
      <c r="C485" s="370"/>
      <c r="D485" s="370"/>
      <c r="E485" s="27">
        <v>-260.05</v>
      </c>
      <c r="F485" s="27">
        <v>0</v>
      </c>
      <c r="H485" s="27">
        <v>0</v>
      </c>
      <c r="J485" s="27">
        <v>-260.05</v>
      </c>
      <c r="K485" s="25">
        <f t="shared" si="7"/>
        <v>0</v>
      </c>
    </row>
    <row r="486" spans="1:11" ht="15.95" customHeight="1" x14ac:dyDescent="0.2">
      <c r="A486" s="26" t="s">
        <v>849</v>
      </c>
      <c r="B486" s="369" t="s">
        <v>850</v>
      </c>
      <c r="C486" s="370"/>
      <c r="D486" s="370"/>
      <c r="E486" s="27">
        <v>-20.38</v>
      </c>
      <c r="F486" s="27">
        <v>0</v>
      </c>
      <c r="H486" s="27">
        <v>0</v>
      </c>
      <c r="J486" s="27">
        <v>-20.38</v>
      </c>
      <c r="K486" s="25">
        <f t="shared" si="7"/>
        <v>0</v>
      </c>
    </row>
    <row r="487" spans="1:11" ht="27.95" customHeight="1" x14ac:dyDescent="0.2">
      <c r="A487" s="26" t="s">
        <v>851</v>
      </c>
      <c r="B487" s="369" t="s">
        <v>852</v>
      </c>
      <c r="C487" s="370"/>
      <c r="D487" s="370"/>
      <c r="E487" s="27">
        <v>-286.95999999999998</v>
      </c>
      <c r="F487" s="27">
        <v>0</v>
      </c>
      <c r="H487" s="27">
        <v>0</v>
      </c>
      <c r="J487" s="27">
        <v>-286.95999999999998</v>
      </c>
      <c r="K487" s="25">
        <f t="shared" si="7"/>
        <v>0</v>
      </c>
    </row>
    <row r="488" spans="1:11" ht="15.95" customHeight="1" x14ac:dyDescent="0.2">
      <c r="A488" s="26" t="s">
        <v>853</v>
      </c>
      <c r="B488" s="369" t="s">
        <v>854</v>
      </c>
      <c r="C488" s="370"/>
      <c r="D488" s="370"/>
      <c r="E488" s="27">
        <v>-633.79999999999995</v>
      </c>
      <c r="F488" s="27">
        <v>0</v>
      </c>
      <c r="H488" s="27">
        <v>0</v>
      </c>
      <c r="J488" s="27">
        <v>-633.79999999999995</v>
      </c>
      <c r="K488" s="25">
        <f t="shared" si="7"/>
        <v>0</v>
      </c>
    </row>
    <row r="489" spans="1:11" ht="15.95" customHeight="1" x14ac:dyDescent="0.2">
      <c r="A489" s="26" t="s">
        <v>855</v>
      </c>
      <c r="B489" s="369" t="s">
        <v>856</v>
      </c>
      <c r="C489" s="370"/>
      <c r="D489" s="370"/>
      <c r="E489" s="27">
        <v>-260.16000000000003</v>
      </c>
      <c r="F489" s="27">
        <v>0</v>
      </c>
      <c r="H489" s="27">
        <v>0</v>
      </c>
      <c r="J489" s="27">
        <v>-260.16000000000003</v>
      </c>
      <c r="K489" s="25">
        <f t="shared" si="7"/>
        <v>0</v>
      </c>
    </row>
    <row r="490" spans="1:11" ht="15.95" customHeight="1" x14ac:dyDescent="0.2">
      <c r="A490" s="26" t="s">
        <v>857</v>
      </c>
      <c r="B490" s="369" t="s">
        <v>858</v>
      </c>
      <c r="C490" s="370"/>
      <c r="D490" s="370"/>
      <c r="E490" s="27">
        <v>-2953.97</v>
      </c>
      <c r="F490" s="27">
        <v>0</v>
      </c>
      <c r="H490" s="27">
        <v>0</v>
      </c>
      <c r="J490" s="27">
        <v>-2953.97</v>
      </c>
      <c r="K490" s="25">
        <f t="shared" si="7"/>
        <v>0</v>
      </c>
    </row>
    <row r="491" spans="1:11" ht="15.95" customHeight="1" x14ac:dyDescent="0.2">
      <c r="A491" s="26" t="s">
        <v>859</v>
      </c>
      <c r="B491" s="369" t="s">
        <v>860</v>
      </c>
      <c r="C491" s="370"/>
      <c r="D491" s="370"/>
      <c r="E491" s="27">
        <v>-2514.64</v>
      </c>
      <c r="F491" s="27">
        <v>0</v>
      </c>
      <c r="H491" s="27">
        <v>0</v>
      </c>
      <c r="J491" s="27">
        <v>-2514.64</v>
      </c>
      <c r="K491" s="25">
        <f t="shared" si="7"/>
        <v>0</v>
      </c>
    </row>
    <row r="492" spans="1:11" ht="15.95" customHeight="1" x14ac:dyDescent="0.2">
      <c r="A492" s="26" t="s">
        <v>861</v>
      </c>
      <c r="B492" s="369" t="s">
        <v>862</v>
      </c>
      <c r="C492" s="370"/>
      <c r="D492" s="370"/>
      <c r="E492" s="27">
        <v>-29.84</v>
      </c>
      <c r="F492" s="27">
        <v>0</v>
      </c>
      <c r="H492" s="27">
        <v>0</v>
      </c>
      <c r="J492" s="27">
        <v>-29.84</v>
      </c>
      <c r="K492" s="25">
        <f t="shared" si="7"/>
        <v>0</v>
      </c>
    </row>
    <row r="493" spans="1:11" ht="15.95" customHeight="1" x14ac:dyDescent="0.2">
      <c r="A493" s="26" t="s">
        <v>863</v>
      </c>
      <c r="B493" s="369" t="s">
        <v>864</v>
      </c>
      <c r="C493" s="370"/>
      <c r="D493" s="370"/>
      <c r="E493" s="27">
        <v>-866.83</v>
      </c>
      <c r="F493" s="27">
        <v>0</v>
      </c>
      <c r="H493" s="27">
        <v>0</v>
      </c>
      <c r="J493" s="27">
        <v>-866.83</v>
      </c>
      <c r="K493" s="25">
        <f t="shared" si="7"/>
        <v>0</v>
      </c>
    </row>
    <row r="494" spans="1:11" ht="15.95" customHeight="1" x14ac:dyDescent="0.2">
      <c r="A494" s="26" t="s">
        <v>865</v>
      </c>
      <c r="B494" s="369" t="s">
        <v>866</v>
      </c>
      <c r="C494" s="370"/>
      <c r="D494" s="370"/>
      <c r="E494" s="27">
        <v>-236.03</v>
      </c>
      <c r="F494" s="27">
        <v>0</v>
      </c>
      <c r="H494" s="27">
        <v>0</v>
      </c>
      <c r="J494" s="27">
        <v>-236.03</v>
      </c>
      <c r="K494" s="25">
        <f t="shared" si="7"/>
        <v>0</v>
      </c>
    </row>
    <row r="495" spans="1:11" ht="15.95" customHeight="1" x14ac:dyDescent="0.2">
      <c r="A495" s="26" t="s">
        <v>867</v>
      </c>
      <c r="B495" s="369" t="s">
        <v>868</v>
      </c>
      <c r="C495" s="370"/>
      <c r="D495" s="370"/>
      <c r="E495" s="27">
        <v>-148.35</v>
      </c>
      <c r="F495" s="27">
        <v>0</v>
      </c>
      <c r="H495" s="27">
        <v>0</v>
      </c>
      <c r="J495" s="27">
        <v>-148.35</v>
      </c>
      <c r="K495" s="25">
        <f t="shared" si="7"/>
        <v>0</v>
      </c>
    </row>
    <row r="496" spans="1:11" ht="15.95" customHeight="1" x14ac:dyDescent="0.2">
      <c r="A496" s="26" t="s">
        <v>871</v>
      </c>
      <c r="B496" s="369" t="s">
        <v>872</v>
      </c>
      <c r="C496" s="370"/>
      <c r="D496" s="370"/>
      <c r="E496" s="27">
        <v>-70.819999999999993</v>
      </c>
      <c r="F496" s="27">
        <v>0</v>
      </c>
      <c r="H496" s="27">
        <v>0</v>
      </c>
      <c r="J496" s="27">
        <v>-70.819999999999993</v>
      </c>
      <c r="K496" s="25">
        <f t="shared" si="7"/>
        <v>0</v>
      </c>
    </row>
    <row r="497" spans="1:11" ht="15.95" customHeight="1" x14ac:dyDescent="0.2">
      <c r="A497" s="26" t="s">
        <v>873</v>
      </c>
      <c r="B497" s="369" t="s">
        <v>874</v>
      </c>
      <c r="C497" s="370"/>
      <c r="D497" s="370"/>
      <c r="E497" s="27">
        <v>-396.38</v>
      </c>
      <c r="F497" s="27">
        <v>0</v>
      </c>
      <c r="H497" s="27">
        <v>0</v>
      </c>
      <c r="J497" s="27">
        <v>-396.38</v>
      </c>
      <c r="K497" s="25">
        <f t="shared" si="7"/>
        <v>0</v>
      </c>
    </row>
    <row r="498" spans="1:11" ht="15.95" customHeight="1" x14ac:dyDescent="0.2">
      <c r="A498" s="26" t="s">
        <v>875</v>
      </c>
      <c r="B498" s="369" t="s">
        <v>876</v>
      </c>
      <c r="C498" s="370"/>
      <c r="D498" s="370"/>
      <c r="E498" s="27">
        <v>-117.09</v>
      </c>
      <c r="F498" s="27">
        <v>0</v>
      </c>
      <c r="H498" s="27">
        <v>0</v>
      </c>
      <c r="J498" s="27">
        <v>-117.09</v>
      </c>
      <c r="K498" s="25">
        <f t="shared" si="7"/>
        <v>0</v>
      </c>
    </row>
    <row r="499" spans="1:11" ht="15.95" customHeight="1" x14ac:dyDescent="0.2">
      <c r="A499" s="26" t="s">
        <v>877</v>
      </c>
      <c r="B499" s="369" t="s">
        <v>878</v>
      </c>
      <c r="C499" s="370"/>
      <c r="D499" s="370"/>
      <c r="E499" s="27">
        <v>-1638.3</v>
      </c>
      <c r="F499" s="27">
        <v>0</v>
      </c>
      <c r="H499" s="27">
        <v>0</v>
      </c>
      <c r="J499" s="27">
        <v>-1638.3</v>
      </c>
      <c r="K499" s="25">
        <f t="shared" si="7"/>
        <v>0</v>
      </c>
    </row>
    <row r="500" spans="1:11" ht="15.95" customHeight="1" x14ac:dyDescent="0.2">
      <c r="A500" s="26" t="s">
        <v>879</v>
      </c>
      <c r="B500" s="369" t="s">
        <v>880</v>
      </c>
      <c r="C500" s="370"/>
      <c r="D500" s="370"/>
      <c r="E500" s="27">
        <v>-13.09</v>
      </c>
      <c r="F500" s="27">
        <v>0</v>
      </c>
      <c r="H500" s="27">
        <v>0</v>
      </c>
      <c r="J500" s="27">
        <v>-13.09</v>
      </c>
      <c r="K500" s="25">
        <f t="shared" si="7"/>
        <v>0</v>
      </c>
    </row>
    <row r="501" spans="1:11" ht="15.95" customHeight="1" x14ac:dyDescent="0.2">
      <c r="A501" s="26" t="s">
        <v>881</v>
      </c>
      <c r="B501" s="369" t="s">
        <v>882</v>
      </c>
      <c r="C501" s="370"/>
      <c r="D501" s="370"/>
      <c r="E501" s="27">
        <v>-164.32</v>
      </c>
      <c r="F501" s="27">
        <v>0</v>
      </c>
      <c r="H501" s="27">
        <v>0</v>
      </c>
      <c r="J501" s="27">
        <v>-164.32</v>
      </c>
      <c r="K501" s="25">
        <f t="shared" si="7"/>
        <v>0</v>
      </c>
    </row>
    <row r="502" spans="1:11" ht="15.95" customHeight="1" x14ac:dyDescent="0.2">
      <c r="A502" s="26" t="s">
        <v>883</v>
      </c>
      <c r="B502" s="369" t="s">
        <v>884</v>
      </c>
      <c r="C502" s="370"/>
      <c r="D502" s="370"/>
      <c r="E502" s="27">
        <v>-1094.4100000000001</v>
      </c>
      <c r="F502" s="27">
        <v>0</v>
      </c>
      <c r="H502" s="27">
        <v>0</v>
      </c>
      <c r="J502" s="27">
        <v>-1094.4100000000001</v>
      </c>
      <c r="K502" s="25">
        <f t="shared" si="7"/>
        <v>0</v>
      </c>
    </row>
    <row r="503" spans="1:11" ht="15.95" customHeight="1" x14ac:dyDescent="0.2">
      <c r="A503" s="26" t="s">
        <v>885</v>
      </c>
      <c r="B503" s="369" t="s">
        <v>886</v>
      </c>
      <c r="C503" s="370"/>
      <c r="D503" s="370"/>
      <c r="E503" s="27">
        <v>-136.56</v>
      </c>
      <c r="F503" s="27">
        <v>0</v>
      </c>
      <c r="H503" s="27">
        <v>0</v>
      </c>
      <c r="J503" s="27">
        <v>-136.56</v>
      </c>
      <c r="K503" s="25">
        <f t="shared" si="7"/>
        <v>0</v>
      </c>
    </row>
    <row r="504" spans="1:11" ht="15.95" customHeight="1" x14ac:dyDescent="0.2">
      <c r="A504" s="26" t="s">
        <v>887</v>
      </c>
      <c r="B504" s="369" t="s">
        <v>888</v>
      </c>
      <c r="C504" s="370"/>
      <c r="D504" s="370"/>
      <c r="E504" s="27">
        <v>-2046.48</v>
      </c>
      <c r="F504" s="27">
        <v>0</v>
      </c>
      <c r="H504" s="27">
        <v>0</v>
      </c>
      <c r="J504" s="27">
        <v>-2046.48</v>
      </c>
      <c r="K504" s="25">
        <f t="shared" si="7"/>
        <v>0</v>
      </c>
    </row>
    <row r="505" spans="1:11" ht="15.95" customHeight="1" x14ac:dyDescent="0.2">
      <c r="A505" s="26" t="s">
        <v>889</v>
      </c>
      <c r="B505" s="369" t="s">
        <v>890</v>
      </c>
      <c r="C505" s="370"/>
      <c r="D505" s="370"/>
      <c r="E505" s="27">
        <v>-2708.77</v>
      </c>
      <c r="F505" s="27">
        <v>0</v>
      </c>
      <c r="H505" s="27">
        <v>0</v>
      </c>
      <c r="J505" s="27">
        <v>-2708.77</v>
      </c>
      <c r="K505" s="25">
        <f t="shared" si="7"/>
        <v>0</v>
      </c>
    </row>
    <row r="506" spans="1:11" ht="15.95" customHeight="1" x14ac:dyDescent="0.2">
      <c r="A506" s="26" t="s">
        <v>891</v>
      </c>
      <c r="B506" s="369" t="s">
        <v>892</v>
      </c>
      <c r="C506" s="370"/>
      <c r="D506" s="370"/>
      <c r="E506" s="27">
        <v>-1092.42</v>
      </c>
      <c r="F506" s="27">
        <v>0</v>
      </c>
      <c r="H506" s="27">
        <v>0</v>
      </c>
      <c r="J506" s="27">
        <v>-1092.42</v>
      </c>
      <c r="K506" s="25">
        <f t="shared" si="7"/>
        <v>0</v>
      </c>
    </row>
    <row r="507" spans="1:11" ht="15.95" customHeight="1" x14ac:dyDescent="0.2">
      <c r="A507" s="26" t="s">
        <v>893</v>
      </c>
      <c r="B507" s="369" t="s">
        <v>894</v>
      </c>
      <c r="C507" s="370"/>
      <c r="D507" s="370"/>
      <c r="E507" s="27">
        <v>-52.6</v>
      </c>
      <c r="F507" s="27">
        <v>0</v>
      </c>
      <c r="H507" s="27">
        <v>0</v>
      </c>
      <c r="J507" s="27">
        <v>-52.6</v>
      </c>
      <c r="K507" s="25">
        <f t="shared" si="7"/>
        <v>0</v>
      </c>
    </row>
    <row r="508" spans="1:11" ht="15.95" customHeight="1" x14ac:dyDescent="0.2">
      <c r="A508" s="26" t="s">
        <v>895</v>
      </c>
      <c r="B508" s="369" t="s">
        <v>896</v>
      </c>
      <c r="C508" s="370"/>
      <c r="D508" s="370"/>
      <c r="E508" s="27">
        <v>-93.68</v>
      </c>
      <c r="F508" s="27">
        <v>0</v>
      </c>
      <c r="H508" s="27">
        <v>0</v>
      </c>
      <c r="J508" s="27">
        <v>-93.68</v>
      </c>
      <c r="K508" s="25">
        <f t="shared" si="7"/>
        <v>0</v>
      </c>
    </row>
    <row r="509" spans="1:11" ht="15.95" customHeight="1" x14ac:dyDescent="0.2">
      <c r="A509" s="26" t="s">
        <v>897</v>
      </c>
      <c r="B509" s="369" t="s">
        <v>898</v>
      </c>
      <c r="C509" s="370"/>
      <c r="D509" s="370"/>
      <c r="E509" s="27">
        <v>-27.05</v>
      </c>
      <c r="F509" s="27">
        <v>0</v>
      </c>
      <c r="H509" s="27">
        <v>0</v>
      </c>
      <c r="J509" s="27">
        <v>-27.05</v>
      </c>
      <c r="K509" s="25">
        <f t="shared" si="7"/>
        <v>0</v>
      </c>
    </row>
    <row r="510" spans="1:11" ht="15.95" customHeight="1" x14ac:dyDescent="0.2">
      <c r="A510" s="26" t="s">
        <v>899</v>
      </c>
      <c r="B510" s="369" t="s">
        <v>900</v>
      </c>
      <c r="C510" s="370"/>
      <c r="D510" s="370"/>
      <c r="E510" s="27">
        <v>-429.13</v>
      </c>
      <c r="F510" s="27">
        <v>0</v>
      </c>
      <c r="H510" s="27">
        <v>0</v>
      </c>
      <c r="J510" s="27">
        <v>-429.13</v>
      </c>
      <c r="K510" s="25">
        <f t="shared" si="7"/>
        <v>0</v>
      </c>
    </row>
    <row r="511" spans="1:11" ht="15.95" customHeight="1" x14ac:dyDescent="0.2">
      <c r="A511" s="26" t="s">
        <v>901</v>
      </c>
      <c r="B511" s="369" t="s">
        <v>902</v>
      </c>
      <c r="C511" s="370"/>
      <c r="D511" s="370"/>
      <c r="E511" s="27">
        <v>-91.74</v>
      </c>
      <c r="F511" s="27">
        <v>0</v>
      </c>
      <c r="H511" s="27">
        <v>0</v>
      </c>
      <c r="J511" s="27">
        <v>-91.74</v>
      </c>
      <c r="K511" s="25">
        <f t="shared" si="7"/>
        <v>0</v>
      </c>
    </row>
    <row r="512" spans="1:11" ht="15.95" customHeight="1" x14ac:dyDescent="0.2">
      <c r="A512" s="26" t="s">
        <v>903</v>
      </c>
      <c r="B512" s="369" t="s">
        <v>904</v>
      </c>
      <c r="C512" s="370"/>
      <c r="D512" s="370"/>
      <c r="E512" s="27">
        <v>-501</v>
      </c>
      <c r="F512" s="27">
        <v>0</v>
      </c>
      <c r="H512" s="27">
        <v>0</v>
      </c>
      <c r="J512" s="27">
        <v>-501</v>
      </c>
      <c r="K512" s="25">
        <f t="shared" si="7"/>
        <v>0</v>
      </c>
    </row>
    <row r="513" spans="1:11" ht="15.95" customHeight="1" x14ac:dyDescent="0.2">
      <c r="A513" s="26" t="s">
        <v>905</v>
      </c>
      <c r="B513" s="369" t="s">
        <v>906</v>
      </c>
      <c r="C513" s="370"/>
      <c r="D513" s="370"/>
      <c r="E513" s="27">
        <v>-4910.01</v>
      </c>
      <c r="F513" s="27">
        <v>0</v>
      </c>
      <c r="H513" s="27">
        <v>0</v>
      </c>
      <c r="J513" s="27">
        <v>-4910.01</v>
      </c>
      <c r="K513" s="25">
        <f t="shared" si="7"/>
        <v>0</v>
      </c>
    </row>
    <row r="514" spans="1:11" ht="15.95" customHeight="1" x14ac:dyDescent="0.2">
      <c r="A514" s="26" t="s">
        <v>907</v>
      </c>
      <c r="B514" s="369" t="s">
        <v>908</v>
      </c>
      <c r="C514" s="370"/>
      <c r="D514" s="370"/>
      <c r="E514" s="27">
        <v>-106</v>
      </c>
      <c r="F514" s="27">
        <v>0</v>
      </c>
      <c r="H514" s="27">
        <v>0</v>
      </c>
      <c r="J514" s="27">
        <v>-106</v>
      </c>
      <c r="K514" s="25">
        <f t="shared" si="7"/>
        <v>0</v>
      </c>
    </row>
    <row r="515" spans="1:11" ht="15.95" customHeight="1" x14ac:dyDescent="0.2">
      <c r="A515" s="26" t="s">
        <v>909</v>
      </c>
      <c r="B515" s="369" t="s">
        <v>910</v>
      </c>
      <c r="C515" s="370"/>
      <c r="D515" s="370"/>
      <c r="E515" s="27">
        <v>-41.75</v>
      </c>
      <c r="F515" s="27">
        <v>0</v>
      </c>
      <c r="H515" s="27">
        <v>0</v>
      </c>
      <c r="J515" s="27">
        <v>-41.75</v>
      </c>
      <c r="K515" s="25">
        <f t="shared" ref="K515:K578" si="8">J515-E515</f>
        <v>0</v>
      </c>
    </row>
    <row r="516" spans="1:11" ht="15.95" customHeight="1" x14ac:dyDescent="0.2">
      <c r="A516" s="26" t="s">
        <v>1613</v>
      </c>
      <c r="B516" s="369" t="s">
        <v>1614</v>
      </c>
      <c r="C516" s="370"/>
      <c r="D516" s="370"/>
      <c r="E516" s="27">
        <v>-13.74</v>
      </c>
      <c r="F516" s="27">
        <v>13.74</v>
      </c>
      <c r="H516" s="27">
        <v>0</v>
      </c>
      <c r="J516" s="27">
        <v>0</v>
      </c>
      <c r="K516" s="25">
        <f t="shared" si="8"/>
        <v>13.74</v>
      </c>
    </row>
    <row r="517" spans="1:11" ht="15.95" customHeight="1" x14ac:dyDescent="0.2">
      <c r="A517" s="26" t="s">
        <v>911</v>
      </c>
      <c r="B517" s="369" t="s">
        <v>912</v>
      </c>
      <c r="C517" s="370"/>
      <c r="D517" s="370"/>
      <c r="E517" s="27">
        <v>0</v>
      </c>
      <c r="F517" s="27">
        <v>0</v>
      </c>
      <c r="H517" s="27">
        <v>25.84</v>
      </c>
      <c r="J517" s="27">
        <v>-25.84</v>
      </c>
      <c r="K517" s="25">
        <f t="shared" si="8"/>
        <v>-25.84</v>
      </c>
    </row>
    <row r="518" spans="1:11" ht="15.95" customHeight="1" x14ac:dyDescent="0.2">
      <c r="A518" s="26" t="s">
        <v>913</v>
      </c>
      <c r="B518" s="369" t="s">
        <v>914</v>
      </c>
      <c r="C518" s="370"/>
      <c r="D518" s="370"/>
      <c r="E518" s="27">
        <v>0</v>
      </c>
      <c r="F518" s="27">
        <v>0</v>
      </c>
      <c r="H518" s="27">
        <v>24.95</v>
      </c>
      <c r="J518" s="27">
        <v>-24.95</v>
      </c>
      <c r="K518" s="25">
        <f t="shared" si="8"/>
        <v>-24.95</v>
      </c>
    </row>
    <row r="519" spans="1:11" ht="15.95" customHeight="1" x14ac:dyDescent="0.2">
      <c r="A519" s="26" t="s">
        <v>1615</v>
      </c>
      <c r="B519" s="369" t="s">
        <v>1616</v>
      </c>
      <c r="C519" s="370"/>
      <c r="D519" s="370"/>
      <c r="E519" s="27">
        <v>0</v>
      </c>
      <c r="F519" s="27">
        <v>31691</v>
      </c>
      <c r="H519" s="27">
        <v>31691</v>
      </c>
      <c r="J519" s="27">
        <v>0</v>
      </c>
      <c r="K519" s="25">
        <f t="shared" si="8"/>
        <v>0</v>
      </c>
    </row>
    <row r="520" spans="1:11" ht="15.95" customHeight="1" x14ac:dyDescent="0.2">
      <c r="A520" s="26" t="s">
        <v>915</v>
      </c>
      <c r="B520" s="369" t="s">
        <v>916</v>
      </c>
      <c r="C520" s="370"/>
      <c r="D520" s="370"/>
      <c r="E520" s="27">
        <v>0</v>
      </c>
      <c r="F520" s="27">
        <v>0</v>
      </c>
      <c r="H520" s="27">
        <v>2728.5</v>
      </c>
      <c r="J520" s="27">
        <v>-2728.5</v>
      </c>
      <c r="K520" s="25">
        <f t="shared" si="8"/>
        <v>-2728.5</v>
      </c>
    </row>
    <row r="521" spans="1:11" ht="15.95" customHeight="1" x14ac:dyDescent="0.2">
      <c r="A521" s="26" t="s">
        <v>917</v>
      </c>
      <c r="B521" s="369" t="s">
        <v>918</v>
      </c>
      <c r="C521" s="370"/>
      <c r="D521" s="370"/>
      <c r="E521" s="27">
        <v>0</v>
      </c>
      <c r="F521" s="27">
        <v>1403.34</v>
      </c>
      <c r="H521" s="27">
        <v>1993.2</v>
      </c>
      <c r="J521" s="27">
        <v>-589.86</v>
      </c>
      <c r="K521" s="25">
        <f t="shared" si="8"/>
        <v>-589.86</v>
      </c>
    </row>
    <row r="522" spans="1:11" ht="15.95" customHeight="1" x14ac:dyDescent="0.2">
      <c r="A522" s="26" t="s">
        <v>1543</v>
      </c>
      <c r="B522" s="369" t="s">
        <v>1544</v>
      </c>
      <c r="C522" s="370"/>
      <c r="D522" s="370"/>
      <c r="E522" s="27">
        <v>0</v>
      </c>
      <c r="F522" s="27">
        <v>192.71</v>
      </c>
      <c r="H522" s="27">
        <v>192.71</v>
      </c>
      <c r="J522" s="27">
        <v>0</v>
      </c>
      <c r="K522" s="25">
        <f t="shared" si="8"/>
        <v>0</v>
      </c>
    </row>
    <row r="523" spans="1:11" ht="15.95" customHeight="1" x14ac:dyDescent="0.2">
      <c r="A523" s="26" t="s">
        <v>924</v>
      </c>
      <c r="B523" s="369" t="s">
        <v>925</v>
      </c>
      <c r="C523" s="370"/>
      <c r="D523" s="370"/>
      <c r="E523" s="27">
        <v>-614118.05000000005</v>
      </c>
      <c r="F523" s="27">
        <v>491940.73</v>
      </c>
      <c r="H523" s="27">
        <v>146672.16</v>
      </c>
      <c r="J523" s="27">
        <v>-268849.48</v>
      </c>
      <c r="K523" s="25">
        <f t="shared" si="8"/>
        <v>345268.57000000007</v>
      </c>
    </row>
    <row r="524" spans="1:11" ht="15.95" customHeight="1" x14ac:dyDescent="0.2">
      <c r="A524" s="26">
        <v>2170103</v>
      </c>
      <c r="B524" s="369" t="s">
        <v>926</v>
      </c>
      <c r="C524" s="370"/>
      <c r="D524" s="370"/>
      <c r="E524" s="27">
        <v>-2074158.23</v>
      </c>
      <c r="F524" s="27">
        <v>0</v>
      </c>
      <c r="H524" s="27">
        <v>0</v>
      </c>
      <c r="J524" s="27">
        <v>-2074158.23</v>
      </c>
      <c r="K524" s="25">
        <f t="shared" si="8"/>
        <v>0</v>
      </c>
    </row>
    <row r="525" spans="1:11" ht="15.95" customHeight="1" x14ac:dyDescent="0.2">
      <c r="A525" s="26" t="s">
        <v>927</v>
      </c>
      <c r="B525" s="369" t="s">
        <v>928</v>
      </c>
      <c r="C525" s="370"/>
      <c r="D525" s="370"/>
      <c r="E525" s="27">
        <v>-130924.65</v>
      </c>
      <c r="F525" s="27">
        <v>0</v>
      </c>
      <c r="H525" s="27">
        <v>0</v>
      </c>
      <c r="J525" s="27">
        <v>-130924.65</v>
      </c>
      <c r="K525" s="25">
        <f t="shared" si="8"/>
        <v>0</v>
      </c>
    </row>
    <row r="526" spans="1:11" ht="15.95" customHeight="1" x14ac:dyDescent="0.2">
      <c r="A526" s="26" t="s">
        <v>929</v>
      </c>
      <c r="B526" s="369" t="s">
        <v>930</v>
      </c>
      <c r="C526" s="370"/>
      <c r="D526" s="370"/>
      <c r="E526" s="27">
        <v>-226.75</v>
      </c>
      <c r="F526" s="27">
        <v>0</v>
      </c>
      <c r="H526" s="27">
        <v>0</v>
      </c>
      <c r="J526" s="27">
        <v>-226.75</v>
      </c>
      <c r="K526" s="25">
        <f t="shared" si="8"/>
        <v>0</v>
      </c>
    </row>
    <row r="527" spans="1:11" ht="15.95" customHeight="1" x14ac:dyDescent="0.2">
      <c r="A527" s="26" t="s">
        <v>931</v>
      </c>
      <c r="B527" s="369" t="s">
        <v>932</v>
      </c>
      <c r="C527" s="370"/>
      <c r="D527" s="370"/>
      <c r="E527" s="27">
        <v>-1794.57</v>
      </c>
      <c r="F527" s="27">
        <v>0</v>
      </c>
      <c r="H527" s="27">
        <v>0</v>
      </c>
      <c r="J527" s="27">
        <v>-1794.57</v>
      </c>
      <c r="K527" s="25">
        <f t="shared" si="8"/>
        <v>0</v>
      </c>
    </row>
    <row r="528" spans="1:11" ht="15.95" customHeight="1" x14ac:dyDescent="0.2">
      <c r="A528" s="26" t="s">
        <v>933</v>
      </c>
      <c r="B528" s="369" t="s">
        <v>934</v>
      </c>
      <c r="C528" s="370"/>
      <c r="D528" s="370"/>
      <c r="E528" s="27">
        <v>-47342.879999999997</v>
      </c>
      <c r="F528" s="27">
        <v>0</v>
      </c>
      <c r="H528" s="27">
        <v>0</v>
      </c>
      <c r="J528" s="27">
        <v>-47342.879999999997</v>
      </c>
      <c r="K528" s="25">
        <f t="shared" si="8"/>
        <v>0</v>
      </c>
    </row>
    <row r="529" spans="1:11" ht="15.95" customHeight="1" x14ac:dyDescent="0.2">
      <c r="A529" s="26" t="s">
        <v>935</v>
      </c>
      <c r="B529" s="369" t="s">
        <v>936</v>
      </c>
      <c r="C529" s="370"/>
      <c r="D529" s="370"/>
      <c r="E529" s="27">
        <v>-2247.4699999999998</v>
      </c>
      <c r="F529" s="27">
        <v>0</v>
      </c>
      <c r="H529" s="27">
        <v>0</v>
      </c>
      <c r="J529" s="27">
        <v>-2247.4699999999998</v>
      </c>
      <c r="K529" s="25">
        <f t="shared" si="8"/>
        <v>0</v>
      </c>
    </row>
    <row r="530" spans="1:11" ht="15.95" customHeight="1" x14ac:dyDescent="0.2">
      <c r="A530" s="26" t="s">
        <v>937</v>
      </c>
      <c r="B530" s="369" t="s">
        <v>938</v>
      </c>
      <c r="C530" s="370"/>
      <c r="D530" s="370"/>
      <c r="E530" s="27">
        <v>-1269.3900000000001</v>
      </c>
      <c r="F530" s="27">
        <v>0</v>
      </c>
      <c r="H530" s="27">
        <v>0</v>
      </c>
      <c r="J530" s="27">
        <v>-1269.3900000000001</v>
      </c>
      <c r="K530" s="25">
        <f t="shared" si="8"/>
        <v>0</v>
      </c>
    </row>
    <row r="531" spans="1:11" ht="15.95" customHeight="1" x14ac:dyDescent="0.2">
      <c r="A531" s="26" t="s">
        <v>939</v>
      </c>
      <c r="B531" s="369" t="s">
        <v>940</v>
      </c>
      <c r="C531" s="370"/>
      <c r="D531" s="370"/>
      <c r="E531" s="27">
        <v>-33360.89</v>
      </c>
      <c r="F531" s="27">
        <v>0</v>
      </c>
      <c r="H531" s="27">
        <v>0</v>
      </c>
      <c r="J531" s="27">
        <v>-33360.89</v>
      </c>
      <c r="K531" s="25">
        <f t="shared" si="8"/>
        <v>0</v>
      </c>
    </row>
    <row r="532" spans="1:11" ht="15.95" customHeight="1" x14ac:dyDescent="0.2">
      <c r="A532" s="26" t="s">
        <v>941</v>
      </c>
      <c r="B532" s="369" t="s">
        <v>942</v>
      </c>
      <c r="C532" s="370"/>
      <c r="D532" s="370"/>
      <c r="E532" s="27">
        <v>-1242633.32</v>
      </c>
      <c r="F532" s="27">
        <v>0</v>
      </c>
      <c r="H532" s="27">
        <v>0</v>
      </c>
      <c r="J532" s="27">
        <v>-1242633.32</v>
      </c>
      <c r="K532" s="25">
        <f t="shared" si="8"/>
        <v>0</v>
      </c>
    </row>
    <row r="533" spans="1:11" ht="15.95" customHeight="1" x14ac:dyDescent="0.2">
      <c r="A533" s="26" t="s">
        <v>943</v>
      </c>
      <c r="B533" s="369" t="s">
        <v>944</v>
      </c>
      <c r="C533" s="370"/>
      <c r="D533" s="370"/>
      <c r="E533" s="27">
        <v>-1390.47</v>
      </c>
      <c r="F533" s="27">
        <v>0</v>
      </c>
      <c r="H533" s="27">
        <v>0</v>
      </c>
      <c r="J533" s="27">
        <v>-1390.47</v>
      </c>
      <c r="K533" s="25">
        <f t="shared" si="8"/>
        <v>0</v>
      </c>
    </row>
    <row r="534" spans="1:11" ht="15.95" customHeight="1" x14ac:dyDescent="0.2">
      <c r="A534" s="26" t="s">
        <v>945</v>
      </c>
      <c r="B534" s="369" t="s">
        <v>946</v>
      </c>
      <c r="C534" s="370"/>
      <c r="D534" s="370"/>
      <c r="E534" s="27">
        <v>-120520.27</v>
      </c>
      <c r="F534" s="27">
        <v>0</v>
      </c>
      <c r="H534" s="27">
        <v>0</v>
      </c>
      <c r="J534" s="27">
        <v>-120520.27</v>
      </c>
      <c r="K534" s="25">
        <f t="shared" si="8"/>
        <v>0</v>
      </c>
    </row>
    <row r="535" spans="1:11" ht="15.95" customHeight="1" x14ac:dyDescent="0.2">
      <c r="A535" s="26" t="s">
        <v>947</v>
      </c>
      <c r="B535" s="369" t="s">
        <v>948</v>
      </c>
      <c r="C535" s="370"/>
      <c r="D535" s="370"/>
      <c r="E535" s="27">
        <v>-328.74</v>
      </c>
      <c r="F535" s="27">
        <v>0</v>
      </c>
      <c r="H535" s="27">
        <v>0</v>
      </c>
      <c r="J535" s="27">
        <v>-328.74</v>
      </c>
      <c r="K535" s="25">
        <f t="shared" si="8"/>
        <v>0</v>
      </c>
    </row>
    <row r="536" spans="1:11" ht="15.95" customHeight="1" x14ac:dyDescent="0.2">
      <c r="A536" s="26" t="s">
        <v>949</v>
      </c>
      <c r="B536" s="369" t="s">
        <v>950</v>
      </c>
      <c r="C536" s="370"/>
      <c r="D536" s="370"/>
      <c r="E536" s="27">
        <v>-432.02</v>
      </c>
      <c r="F536" s="27">
        <v>0</v>
      </c>
      <c r="H536" s="27">
        <v>0</v>
      </c>
      <c r="J536" s="27">
        <v>-432.02</v>
      </c>
      <c r="K536" s="25">
        <f t="shared" si="8"/>
        <v>0</v>
      </c>
    </row>
    <row r="537" spans="1:11" ht="15.95" customHeight="1" x14ac:dyDescent="0.2">
      <c r="A537" s="26" t="s">
        <v>951</v>
      </c>
      <c r="B537" s="369" t="s">
        <v>952</v>
      </c>
      <c r="C537" s="370"/>
      <c r="D537" s="370"/>
      <c r="E537" s="27">
        <v>-107.73</v>
      </c>
      <c r="F537" s="27">
        <v>0</v>
      </c>
      <c r="H537" s="27">
        <v>0</v>
      </c>
      <c r="J537" s="27">
        <v>-107.73</v>
      </c>
      <c r="K537" s="25">
        <f t="shared" si="8"/>
        <v>0</v>
      </c>
    </row>
    <row r="538" spans="1:11" ht="15.95" customHeight="1" x14ac:dyDescent="0.2">
      <c r="A538" s="26" t="s">
        <v>953</v>
      </c>
      <c r="B538" s="369" t="s">
        <v>954</v>
      </c>
      <c r="C538" s="370"/>
      <c r="D538" s="370"/>
      <c r="E538" s="27">
        <v>-514.91999999999996</v>
      </c>
      <c r="F538" s="27">
        <v>0</v>
      </c>
      <c r="H538" s="27">
        <v>0</v>
      </c>
      <c r="J538" s="27">
        <v>-514.91999999999996</v>
      </c>
      <c r="K538" s="25">
        <f t="shared" si="8"/>
        <v>0</v>
      </c>
    </row>
    <row r="539" spans="1:11" ht="15.95" customHeight="1" x14ac:dyDescent="0.2">
      <c r="A539" s="26" t="s">
        <v>955</v>
      </c>
      <c r="B539" s="369" t="s">
        <v>956</v>
      </c>
      <c r="C539" s="370"/>
      <c r="D539" s="370"/>
      <c r="E539" s="27">
        <v>-18892.57</v>
      </c>
      <c r="F539" s="27">
        <v>0</v>
      </c>
      <c r="H539" s="27">
        <v>0</v>
      </c>
      <c r="J539" s="27">
        <v>-18892.57</v>
      </c>
      <c r="K539" s="25">
        <f t="shared" si="8"/>
        <v>0</v>
      </c>
    </row>
    <row r="540" spans="1:11" ht="15.95" customHeight="1" x14ac:dyDescent="0.2">
      <c r="A540" s="26" t="s">
        <v>957</v>
      </c>
      <c r="B540" s="369" t="s">
        <v>958</v>
      </c>
      <c r="C540" s="370"/>
      <c r="D540" s="370"/>
      <c r="E540" s="27">
        <v>-2092.9</v>
      </c>
      <c r="F540" s="27">
        <v>0</v>
      </c>
      <c r="H540" s="27">
        <v>0</v>
      </c>
      <c r="J540" s="27">
        <v>-2092.9</v>
      </c>
      <c r="K540" s="25">
        <f t="shared" si="8"/>
        <v>0</v>
      </c>
    </row>
    <row r="541" spans="1:11" ht="27.95" customHeight="1" x14ac:dyDescent="0.2">
      <c r="A541" s="26" t="s">
        <v>959</v>
      </c>
      <c r="B541" s="369" t="s">
        <v>960</v>
      </c>
      <c r="C541" s="370"/>
      <c r="D541" s="370"/>
      <c r="E541" s="27">
        <v>-198.92</v>
      </c>
      <c r="F541" s="27">
        <v>0</v>
      </c>
      <c r="H541" s="27">
        <v>0</v>
      </c>
      <c r="J541" s="27">
        <v>-198.92</v>
      </c>
      <c r="K541" s="25">
        <f t="shared" si="8"/>
        <v>0</v>
      </c>
    </row>
    <row r="542" spans="1:11" ht="15.95" customHeight="1" x14ac:dyDescent="0.2">
      <c r="A542" s="26" t="s">
        <v>961</v>
      </c>
      <c r="B542" s="369" t="s">
        <v>962</v>
      </c>
      <c r="C542" s="370"/>
      <c r="D542" s="370"/>
      <c r="E542" s="27">
        <v>-631.79999999999995</v>
      </c>
      <c r="F542" s="27">
        <v>0</v>
      </c>
      <c r="H542" s="27">
        <v>0</v>
      </c>
      <c r="J542" s="27">
        <v>-631.79999999999995</v>
      </c>
      <c r="K542" s="25">
        <f t="shared" si="8"/>
        <v>0</v>
      </c>
    </row>
    <row r="543" spans="1:11" ht="15.95" customHeight="1" x14ac:dyDescent="0.2">
      <c r="A543" s="26" t="s">
        <v>963</v>
      </c>
      <c r="B543" s="369" t="s">
        <v>964</v>
      </c>
      <c r="C543" s="370"/>
      <c r="D543" s="370"/>
      <c r="E543" s="27">
        <v>-11.83</v>
      </c>
      <c r="F543" s="27">
        <v>0</v>
      </c>
      <c r="H543" s="27">
        <v>0</v>
      </c>
      <c r="J543" s="27">
        <v>-11.83</v>
      </c>
      <c r="K543" s="25">
        <f t="shared" si="8"/>
        <v>0</v>
      </c>
    </row>
    <row r="544" spans="1:11" ht="15.95" customHeight="1" x14ac:dyDescent="0.2">
      <c r="A544" s="26" t="s">
        <v>965</v>
      </c>
      <c r="B544" s="369" t="s">
        <v>966</v>
      </c>
      <c r="C544" s="370"/>
      <c r="D544" s="370"/>
      <c r="E544" s="27">
        <v>-1312.41</v>
      </c>
      <c r="F544" s="27">
        <v>0</v>
      </c>
      <c r="H544" s="27">
        <v>0</v>
      </c>
      <c r="J544" s="27">
        <v>-1312.41</v>
      </c>
      <c r="K544" s="25">
        <f t="shared" si="8"/>
        <v>0</v>
      </c>
    </row>
    <row r="545" spans="1:11" ht="15.95" customHeight="1" x14ac:dyDescent="0.2">
      <c r="A545" s="26" t="s">
        <v>967</v>
      </c>
      <c r="B545" s="369" t="s">
        <v>968</v>
      </c>
      <c r="C545" s="370"/>
      <c r="D545" s="370"/>
      <c r="E545" s="27">
        <v>-334.96</v>
      </c>
      <c r="F545" s="27">
        <v>0</v>
      </c>
      <c r="H545" s="27">
        <v>0</v>
      </c>
      <c r="J545" s="27">
        <v>-334.96</v>
      </c>
      <c r="K545" s="25">
        <f t="shared" si="8"/>
        <v>0</v>
      </c>
    </row>
    <row r="546" spans="1:11" ht="15.95" customHeight="1" x14ac:dyDescent="0.2">
      <c r="A546" s="26" t="s">
        <v>969</v>
      </c>
      <c r="B546" s="369" t="s">
        <v>970</v>
      </c>
      <c r="C546" s="370"/>
      <c r="D546" s="370"/>
      <c r="E546" s="27">
        <v>-59.39</v>
      </c>
      <c r="F546" s="27">
        <v>0</v>
      </c>
      <c r="H546" s="27">
        <v>0</v>
      </c>
      <c r="J546" s="27">
        <v>-59.39</v>
      </c>
      <c r="K546" s="25">
        <f t="shared" si="8"/>
        <v>0</v>
      </c>
    </row>
    <row r="547" spans="1:11" ht="15.95" customHeight="1" x14ac:dyDescent="0.2">
      <c r="A547" s="26" t="s">
        <v>971</v>
      </c>
      <c r="B547" s="369" t="s">
        <v>972</v>
      </c>
      <c r="C547" s="370"/>
      <c r="D547" s="370"/>
      <c r="E547" s="27">
        <v>-1929.28</v>
      </c>
      <c r="F547" s="27">
        <v>0</v>
      </c>
      <c r="H547" s="27">
        <v>0</v>
      </c>
      <c r="J547" s="27">
        <v>-1929.28</v>
      </c>
      <c r="K547" s="25">
        <f t="shared" si="8"/>
        <v>0</v>
      </c>
    </row>
    <row r="548" spans="1:11" ht="15.95" customHeight="1" x14ac:dyDescent="0.2">
      <c r="A548" s="26" t="s">
        <v>973</v>
      </c>
      <c r="B548" s="369" t="s">
        <v>974</v>
      </c>
      <c r="C548" s="370"/>
      <c r="D548" s="370"/>
      <c r="E548" s="27">
        <v>-465600.1</v>
      </c>
      <c r="F548" s="27">
        <v>0</v>
      </c>
      <c r="H548" s="27">
        <v>0</v>
      </c>
      <c r="J548" s="27">
        <v>-465600.1</v>
      </c>
      <c r="K548" s="25">
        <f t="shared" si="8"/>
        <v>0</v>
      </c>
    </row>
    <row r="549" spans="1:11" ht="15.95" customHeight="1" x14ac:dyDescent="0.2">
      <c r="A549" s="26">
        <v>2170104</v>
      </c>
      <c r="B549" s="369" t="s">
        <v>975</v>
      </c>
      <c r="C549" s="370"/>
      <c r="D549" s="370"/>
      <c r="E549" s="27">
        <v>-710988.14</v>
      </c>
      <c r="F549" s="27">
        <v>7159.12</v>
      </c>
      <c r="H549" s="27">
        <v>8952.67</v>
      </c>
      <c r="J549" s="27">
        <v>-712781.69</v>
      </c>
      <c r="K549" s="25">
        <f t="shared" si="8"/>
        <v>-1793.5499999999302</v>
      </c>
    </row>
    <row r="550" spans="1:11" ht="15.95" customHeight="1" x14ac:dyDescent="0.2">
      <c r="A550" s="26" t="s">
        <v>976</v>
      </c>
      <c r="B550" s="369" t="s">
        <v>977</v>
      </c>
      <c r="C550" s="370"/>
      <c r="D550" s="370"/>
      <c r="E550" s="27">
        <v>-849.06</v>
      </c>
      <c r="F550" s="27">
        <v>0</v>
      </c>
      <c r="H550" s="27">
        <v>0</v>
      </c>
      <c r="J550" s="27">
        <v>-849.06</v>
      </c>
      <c r="K550" s="25">
        <f t="shared" si="8"/>
        <v>0</v>
      </c>
    </row>
    <row r="551" spans="1:11" ht="15.95" customHeight="1" x14ac:dyDescent="0.2">
      <c r="A551" s="26" t="s">
        <v>978</v>
      </c>
      <c r="B551" s="369" t="s">
        <v>979</v>
      </c>
      <c r="C551" s="370"/>
      <c r="D551" s="370"/>
      <c r="E551" s="27">
        <v>-27781.55</v>
      </c>
      <c r="F551" s="27">
        <v>0</v>
      </c>
      <c r="H551" s="27">
        <v>0</v>
      </c>
      <c r="J551" s="27">
        <v>-27781.55</v>
      </c>
      <c r="K551" s="25">
        <f t="shared" si="8"/>
        <v>0</v>
      </c>
    </row>
    <row r="552" spans="1:11" ht="15.95" customHeight="1" x14ac:dyDescent="0.2">
      <c r="A552" s="26" t="s">
        <v>980</v>
      </c>
      <c r="B552" s="369" t="s">
        <v>981</v>
      </c>
      <c r="C552" s="370"/>
      <c r="D552" s="370"/>
      <c r="E552" s="27">
        <v>-5267.08</v>
      </c>
      <c r="F552" s="27">
        <v>0</v>
      </c>
      <c r="H552" s="27">
        <v>927.94</v>
      </c>
      <c r="J552" s="27">
        <v>-6195.02</v>
      </c>
      <c r="K552" s="25">
        <f t="shared" si="8"/>
        <v>-927.94000000000051</v>
      </c>
    </row>
    <row r="553" spans="1:11" ht="15.95" customHeight="1" x14ac:dyDescent="0.2">
      <c r="A553" s="26" t="s">
        <v>982</v>
      </c>
      <c r="B553" s="369" t="s">
        <v>983</v>
      </c>
      <c r="C553" s="370"/>
      <c r="D553" s="370"/>
      <c r="E553" s="27">
        <v>-63.22</v>
      </c>
      <c r="F553" s="27">
        <v>0</v>
      </c>
      <c r="H553" s="27">
        <v>0</v>
      </c>
      <c r="J553" s="27">
        <v>-63.22</v>
      </c>
      <c r="K553" s="25">
        <f t="shared" si="8"/>
        <v>0</v>
      </c>
    </row>
    <row r="554" spans="1:11" ht="15.95" customHeight="1" x14ac:dyDescent="0.2">
      <c r="A554" s="26" t="s">
        <v>984</v>
      </c>
      <c r="B554" s="369" t="s">
        <v>985</v>
      </c>
      <c r="C554" s="370"/>
      <c r="D554" s="370"/>
      <c r="E554" s="27">
        <v>-1989.74</v>
      </c>
      <c r="F554" s="27">
        <v>927.94</v>
      </c>
      <c r="H554" s="27">
        <v>0</v>
      </c>
      <c r="J554" s="27">
        <v>-1061.8</v>
      </c>
      <c r="K554" s="25">
        <f t="shared" si="8"/>
        <v>927.94</v>
      </c>
    </row>
    <row r="555" spans="1:11" ht="15.95" customHeight="1" x14ac:dyDescent="0.2">
      <c r="A555" s="26" t="s">
        <v>986</v>
      </c>
      <c r="B555" s="369" t="s">
        <v>987</v>
      </c>
      <c r="C555" s="370"/>
      <c r="D555" s="370"/>
      <c r="E555" s="27">
        <v>-134339.62</v>
      </c>
      <c r="F555" s="27">
        <v>0</v>
      </c>
      <c r="H555" s="27">
        <v>0</v>
      </c>
      <c r="J555" s="27">
        <v>-134339.62</v>
      </c>
      <c r="K555" s="25">
        <f t="shared" si="8"/>
        <v>0</v>
      </c>
    </row>
    <row r="556" spans="1:11" ht="15.95" customHeight="1" x14ac:dyDescent="0.2">
      <c r="A556" s="26" t="s">
        <v>988</v>
      </c>
      <c r="B556" s="369" t="s">
        <v>989</v>
      </c>
      <c r="C556" s="370"/>
      <c r="D556" s="370"/>
      <c r="E556" s="27">
        <v>-176.92</v>
      </c>
      <c r="F556" s="27">
        <v>0</v>
      </c>
      <c r="H556" s="27">
        <v>0</v>
      </c>
      <c r="J556" s="27">
        <v>-176.92</v>
      </c>
      <c r="K556" s="25">
        <f t="shared" si="8"/>
        <v>0</v>
      </c>
    </row>
    <row r="557" spans="1:11" ht="15.95" customHeight="1" x14ac:dyDescent="0.2">
      <c r="A557" s="26" t="s">
        <v>990</v>
      </c>
      <c r="B557" s="369" t="s">
        <v>991</v>
      </c>
      <c r="C557" s="370"/>
      <c r="D557" s="370"/>
      <c r="E557" s="27">
        <v>-19700.63</v>
      </c>
      <c r="F557" s="27">
        <v>0</v>
      </c>
      <c r="H557" s="27">
        <v>0</v>
      </c>
      <c r="J557" s="27">
        <v>-19700.63</v>
      </c>
      <c r="K557" s="25">
        <f t="shared" si="8"/>
        <v>0</v>
      </c>
    </row>
    <row r="558" spans="1:11" ht="15.95" customHeight="1" x14ac:dyDescent="0.2">
      <c r="A558" s="26" t="s">
        <v>992</v>
      </c>
      <c r="B558" s="369" t="s">
        <v>993</v>
      </c>
      <c r="C558" s="370"/>
      <c r="D558" s="370"/>
      <c r="E558" s="27">
        <v>-201984.8</v>
      </c>
      <c r="F558" s="27">
        <v>0</v>
      </c>
      <c r="H558" s="27">
        <v>0</v>
      </c>
      <c r="J558" s="27">
        <v>-201984.8</v>
      </c>
      <c r="K558" s="25">
        <f t="shared" si="8"/>
        <v>0</v>
      </c>
    </row>
    <row r="559" spans="1:11" ht="15.95" customHeight="1" x14ac:dyDescent="0.2">
      <c r="A559" s="26" t="s">
        <v>994</v>
      </c>
      <c r="B559" s="369" t="s">
        <v>995</v>
      </c>
      <c r="C559" s="370"/>
      <c r="D559" s="370"/>
      <c r="E559" s="27">
        <v>-447.8</v>
      </c>
      <c r="F559" s="27">
        <v>0</v>
      </c>
      <c r="H559" s="27">
        <v>0</v>
      </c>
      <c r="J559" s="27">
        <v>-447.8</v>
      </c>
      <c r="K559" s="25">
        <f t="shared" si="8"/>
        <v>0</v>
      </c>
    </row>
    <row r="560" spans="1:11" ht="15.95" customHeight="1" x14ac:dyDescent="0.2">
      <c r="A560" s="26" t="s">
        <v>996</v>
      </c>
      <c r="B560" s="369" t="s">
        <v>997</v>
      </c>
      <c r="C560" s="370"/>
      <c r="D560" s="370"/>
      <c r="E560" s="27">
        <v>-68.72</v>
      </c>
      <c r="F560" s="27">
        <v>0</v>
      </c>
      <c r="H560" s="27">
        <v>0</v>
      </c>
      <c r="J560" s="27">
        <v>-68.72</v>
      </c>
      <c r="K560" s="25">
        <f t="shared" si="8"/>
        <v>0</v>
      </c>
    </row>
    <row r="561" spans="1:11" ht="15.95" customHeight="1" x14ac:dyDescent="0.2">
      <c r="A561" s="26" t="s">
        <v>998</v>
      </c>
      <c r="B561" s="369" t="s">
        <v>999</v>
      </c>
      <c r="C561" s="370"/>
      <c r="D561" s="370"/>
      <c r="E561" s="27">
        <v>-1189.55</v>
      </c>
      <c r="F561" s="27">
        <v>0</v>
      </c>
      <c r="H561" s="27">
        <v>0</v>
      </c>
      <c r="J561" s="27">
        <v>-1189.55</v>
      </c>
      <c r="K561" s="25">
        <f t="shared" si="8"/>
        <v>0</v>
      </c>
    </row>
    <row r="562" spans="1:11" ht="15.95" customHeight="1" x14ac:dyDescent="0.2">
      <c r="A562" s="26" t="s">
        <v>1000</v>
      </c>
      <c r="B562" s="369" t="s">
        <v>1001</v>
      </c>
      <c r="C562" s="370"/>
      <c r="D562" s="370"/>
      <c r="E562" s="27">
        <v>-774.09</v>
      </c>
      <c r="F562" s="27">
        <v>0</v>
      </c>
      <c r="H562" s="27">
        <v>0</v>
      </c>
      <c r="J562" s="27">
        <v>-774.09</v>
      </c>
      <c r="K562" s="25">
        <f t="shared" si="8"/>
        <v>0</v>
      </c>
    </row>
    <row r="563" spans="1:11" ht="15.95" customHeight="1" x14ac:dyDescent="0.2">
      <c r="A563" s="26" t="s">
        <v>1002</v>
      </c>
      <c r="B563" s="369" t="s">
        <v>1003</v>
      </c>
      <c r="C563" s="370"/>
      <c r="D563" s="370"/>
      <c r="E563" s="27">
        <v>-360</v>
      </c>
      <c r="F563" s="27">
        <v>0</v>
      </c>
      <c r="H563" s="27">
        <v>0</v>
      </c>
      <c r="J563" s="27">
        <v>-360</v>
      </c>
      <c r="K563" s="25">
        <f t="shared" si="8"/>
        <v>0</v>
      </c>
    </row>
    <row r="564" spans="1:11" ht="15.95" customHeight="1" x14ac:dyDescent="0.2">
      <c r="A564" s="26" t="s">
        <v>1004</v>
      </c>
      <c r="B564" s="369" t="s">
        <v>1005</v>
      </c>
      <c r="C564" s="370"/>
      <c r="D564" s="370"/>
      <c r="E564" s="27">
        <v>-2180.19</v>
      </c>
      <c r="F564" s="27">
        <v>0</v>
      </c>
      <c r="H564" s="27">
        <v>0</v>
      </c>
      <c r="J564" s="27">
        <v>-2180.19</v>
      </c>
      <c r="K564" s="25">
        <f t="shared" si="8"/>
        <v>0</v>
      </c>
    </row>
    <row r="565" spans="1:11" ht="15.95" customHeight="1" x14ac:dyDescent="0.2">
      <c r="A565" s="26" t="s">
        <v>1006</v>
      </c>
      <c r="B565" s="369" t="s">
        <v>1007</v>
      </c>
      <c r="C565" s="370"/>
      <c r="D565" s="370"/>
      <c r="E565" s="27">
        <v>-29612.55</v>
      </c>
      <c r="F565" s="27">
        <v>6231.18</v>
      </c>
      <c r="H565" s="27">
        <v>0</v>
      </c>
      <c r="J565" s="27">
        <v>-23381.37</v>
      </c>
      <c r="K565" s="25">
        <f t="shared" si="8"/>
        <v>6231.18</v>
      </c>
    </row>
    <row r="566" spans="1:11" ht="15.95" customHeight="1" x14ac:dyDescent="0.2">
      <c r="A566" s="26" t="s">
        <v>1008</v>
      </c>
      <c r="B566" s="369" t="s">
        <v>1009</v>
      </c>
      <c r="C566" s="370"/>
      <c r="D566" s="370"/>
      <c r="E566" s="27">
        <v>-36.67</v>
      </c>
      <c r="F566" s="27">
        <v>0</v>
      </c>
      <c r="H566" s="27">
        <v>0</v>
      </c>
      <c r="J566" s="27">
        <v>-36.67</v>
      </c>
      <c r="K566" s="25">
        <f t="shared" si="8"/>
        <v>0</v>
      </c>
    </row>
    <row r="567" spans="1:11" ht="15.95" customHeight="1" x14ac:dyDescent="0.2">
      <c r="A567" s="26" t="s">
        <v>1010</v>
      </c>
      <c r="B567" s="369" t="s">
        <v>1011</v>
      </c>
      <c r="C567" s="370"/>
      <c r="D567" s="370"/>
      <c r="E567" s="27">
        <v>-130436.47</v>
      </c>
      <c r="F567" s="27">
        <v>0</v>
      </c>
      <c r="H567" s="27">
        <v>0</v>
      </c>
      <c r="J567" s="27">
        <v>-130436.47</v>
      </c>
      <c r="K567" s="25">
        <f t="shared" si="8"/>
        <v>0</v>
      </c>
    </row>
    <row r="568" spans="1:11" ht="15.95" customHeight="1" x14ac:dyDescent="0.2">
      <c r="A568" s="26" t="s">
        <v>1012</v>
      </c>
      <c r="B568" s="369" t="s">
        <v>1013</v>
      </c>
      <c r="C568" s="370"/>
      <c r="D568" s="370"/>
      <c r="E568" s="27">
        <v>-90761.279999999999</v>
      </c>
      <c r="F568" s="27">
        <v>0</v>
      </c>
      <c r="H568" s="27">
        <v>0</v>
      </c>
      <c r="J568" s="27">
        <v>-90761.279999999999</v>
      </c>
      <c r="K568" s="25">
        <f t="shared" si="8"/>
        <v>0</v>
      </c>
    </row>
    <row r="569" spans="1:11" ht="15.95" customHeight="1" x14ac:dyDescent="0.2">
      <c r="A569" s="26" t="s">
        <v>1014</v>
      </c>
      <c r="B569" s="369" t="s">
        <v>1015</v>
      </c>
      <c r="C569" s="370"/>
      <c r="D569" s="370"/>
      <c r="E569" s="27">
        <v>-8820.4599999999991</v>
      </c>
      <c r="F569" s="27">
        <v>0</v>
      </c>
      <c r="H569" s="27">
        <v>0</v>
      </c>
      <c r="J569" s="27">
        <v>-8820.4599999999991</v>
      </c>
      <c r="K569" s="25">
        <f t="shared" si="8"/>
        <v>0</v>
      </c>
    </row>
    <row r="570" spans="1:11" ht="15.95" customHeight="1" x14ac:dyDescent="0.2">
      <c r="A570" s="26" t="s">
        <v>1016</v>
      </c>
      <c r="B570" s="369" t="s">
        <v>1017</v>
      </c>
      <c r="C570" s="370"/>
      <c r="D570" s="370"/>
      <c r="E570" s="27">
        <v>-670.72</v>
      </c>
      <c r="F570" s="27">
        <v>0</v>
      </c>
      <c r="H570" s="27">
        <v>0</v>
      </c>
      <c r="J570" s="27">
        <v>-670.72</v>
      </c>
      <c r="K570" s="25">
        <f t="shared" si="8"/>
        <v>0</v>
      </c>
    </row>
    <row r="571" spans="1:11" ht="15.95" customHeight="1" x14ac:dyDescent="0.2">
      <c r="A571" s="26" t="s">
        <v>1018</v>
      </c>
      <c r="B571" s="369" t="s">
        <v>1019</v>
      </c>
      <c r="C571" s="370"/>
      <c r="D571" s="370"/>
      <c r="E571" s="27">
        <v>-2081.5100000000002</v>
      </c>
      <c r="F571" s="27">
        <v>0</v>
      </c>
      <c r="H571" s="27">
        <v>1139.6400000000001</v>
      </c>
      <c r="J571" s="27">
        <v>-3221.15</v>
      </c>
      <c r="K571" s="25">
        <f t="shared" si="8"/>
        <v>-1139.6399999999999</v>
      </c>
    </row>
    <row r="572" spans="1:11" ht="15.95" customHeight="1" x14ac:dyDescent="0.2">
      <c r="A572" s="26" t="s">
        <v>1020</v>
      </c>
      <c r="B572" s="369" t="s">
        <v>1021</v>
      </c>
      <c r="C572" s="370"/>
      <c r="D572" s="370"/>
      <c r="E572" s="27">
        <v>-200.03</v>
      </c>
      <c r="F572" s="27">
        <v>0</v>
      </c>
      <c r="H572" s="27">
        <v>0</v>
      </c>
      <c r="J572" s="27">
        <v>-200.03</v>
      </c>
      <c r="K572" s="25">
        <f t="shared" si="8"/>
        <v>0</v>
      </c>
    </row>
    <row r="573" spans="1:11" ht="15.95" customHeight="1" x14ac:dyDescent="0.2">
      <c r="A573" s="26" t="s">
        <v>1022</v>
      </c>
      <c r="B573" s="369" t="s">
        <v>1023</v>
      </c>
      <c r="C573" s="370"/>
      <c r="D573" s="370"/>
      <c r="E573" s="27">
        <v>-98.61</v>
      </c>
      <c r="F573" s="27">
        <v>0</v>
      </c>
      <c r="H573" s="27">
        <v>240.64</v>
      </c>
      <c r="J573" s="27">
        <v>-339.25</v>
      </c>
      <c r="K573" s="25">
        <f t="shared" si="8"/>
        <v>-240.64</v>
      </c>
    </row>
    <row r="574" spans="1:11" ht="15.95" customHeight="1" x14ac:dyDescent="0.2">
      <c r="A574" s="26" t="s">
        <v>1024</v>
      </c>
      <c r="B574" s="369" t="s">
        <v>1025</v>
      </c>
      <c r="C574" s="370"/>
      <c r="D574" s="370"/>
      <c r="E574" s="27">
        <v>-200.03</v>
      </c>
      <c r="F574" s="27">
        <v>0</v>
      </c>
      <c r="H574" s="27">
        <v>0</v>
      </c>
      <c r="J574" s="27">
        <v>-200.03</v>
      </c>
      <c r="K574" s="25">
        <f t="shared" si="8"/>
        <v>0</v>
      </c>
    </row>
    <row r="575" spans="1:11" ht="15.95" customHeight="1" x14ac:dyDescent="0.2">
      <c r="A575" s="26" t="s">
        <v>1026</v>
      </c>
      <c r="B575" s="369" t="s">
        <v>1027</v>
      </c>
      <c r="C575" s="370"/>
      <c r="D575" s="370"/>
      <c r="E575" s="27">
        <v>-508.19</v>
      </c>
      <c r="F575" s="27">
        <v>0</v>
      </c>
      <c r="H575" s="27">
        <v>0</v>
      </c>
      <c r="J575" s="27">
        <v>-508.19</v>
      </c>
      <c r="K575" s="25">
        <f t="shared" si="8"/>
        <v>0</v>
      </c>
    </row>
    <row r="576" spans="1:11" ht="15.95" customHeight="1" x14ac:dyDescent="0.2">
      <c r="A576" s="26" t="s">
        <v>1028</v>
      </c>
      <c r="B576" s="369" t="s">
        <v>1029</v>
      </c>
      <c r="C576" s="370"/>
      <c r="D576" s="370"/>
      <c r="E576" s="27">
        <v>-30882.47</v>
      </c>
      <c r="F576" s="27">
        <v>0</v>
      </c>
      <c r="H576" s="27">
        <v>0</v>
      </c>
      <c r="J576" s="27">
        <v>-30882.47</v>
      </c>
      <c r="K576" s="25">
        <f t="shared" si="8"/>
        <v>0</v>
      </c>
    </row>
    <row r="577" spans="1:11" ht="15.95" customHeight="1" x14ac:dyDescent="0.2">
      <c r="A577" s="26" t="s">
        <v>1030</v>
      </c>
      <c r="B577" s="369" t="s">
        <v>1031</v>
      </c>
      <c r="C577" s="370"/>
      <c r="D577" s="370"/>
      <c r="E577" s="27">
        <v>-2991.81</v>
      </c>
      <c r="F577" s="27">
        <v>0</v>
      </c>
      <c r="H577" s="27">
        <v>0</v>
      </c>
      <c r="J577" s="27">
        <v>-2991.81</v>
      </c>
      <c r="K577" s="25">
        <f t="shared" si="8"/>
        <v>0</v>
      </c>
    </row>
    <row r="578" spans="1:11" ht="15.95" customHeight="1" x14ac:dyDescent="0.2">
      <c r="A578" s="26" t="s">
        <v>1032</v>
      </c>
      <c r="B578" s="369" t="s">
        <v>1033</v>
      </c>
      <c r="C578" s="370"/>
      <c r="D578" s="370"/>
      <c r="E578" s="27">
        <v>-304.25</v>
      </c>
      <c r="F578" s="27">
        <v>0</v>
      </c>
      <c r="H578" s="27">
        <v>281.58</v>
      </c>
      <c r="J578" s="27">
        <v>-585.83000000000004</v>
      </c>
      <c r="K578" s="25">
        <f t="shared" si="8"/>
        <v>-281.58000000000004</v>
      </c>
    </row>
    <row r="579" spans="1:11" ht="15.95" customHeight="1" x14ac:dyDescent="0.2">
      <c r="A579" s="26" t="s">
        <v>1034</v>
      </c>
      <c r="B579" s="369" t="s">
        <v>1035</v>
      </c>
      <c r="C579" s="370"/>
      <c r="D579" s="370"/>
      <c r="E579" s="27">
        <v>-101.42</v>
      </c>
      <c r="F579" s="27">
        <v>0</v>
      </c>
      <c r="H579" s="27">
        <v>131.69</v>
      </c>
      <c r="J579" s="27">
        <v>-233.11</v>
      </c>
      <c r="K579" s="25">
        <f t="shared" ref="K579:K642" si="9">J579-E579</f>
        <v>-131.69</v>
      </c>
    </row>
    <row r="580" spans="1:11" ht="15.95" customHeight="1" x14ac:dyDescent="0.2">
      <c r="A580" s="26" t="s">
        <v>1036</v>
      </c>
      <c r="B580" s="369" t="s">
        <v>1037</v>
      </c>
      <c r="C580" s="370"/>
      <c r="D580" s="370"/>
      <c r="E580" s="27">
        <v>-48.41</v>
      </c>
      <c r="F580" s="27">
        <v>0</v>
      </c>
      <c r="H580" s="27">
        <v>0</v>
      </c>
      <c r="J580" s="27">
        <v>-48.41</v>
      </c>
      <c r="K580" s="25">
        <f t="shared" si="9"/>
        <v>0</v>
      </c>
    </row>
    <row r="581" spans="1:11" ht="15.95" customHeight="1" x14ac:dyDescent="0.2">
      <c r="A581" s="26" t="s">
        <v>1038</v>
      </c>
      <c r="B581" s="369" t="s">
        <v>1039</v>
      </c>
      <c r="C581" s="370"/>
      <c r="D581" s="370"/>
      <c r="E581" s="27">
        <v>-16060.29</v>
      </c>
      <c r="F581" s="27">
        <v>0</v>
      </c>
      <c r="H581" s="27">
        <v>0</v>
      </c>
      <c r="J581" s="27">
        <v>-16060.29</v>
      </c>
      <c r="K581" s="25">
        <f t="shared" si="9"/>
        <v>0</v>
      </c>
    </row>
    <row r="582" spans="1:11" ht="15.95" customHeight="1" x14ac:dyDescent="0.2">
      <c r="A582" s="26" t="s">
        <v>1040</v>
      </c>
      <c r="B582" s="369" t="s">
        <v>1041</v>
      </c>
      <c r="C582" s="370"/>
      <c r="D582" s="370"/>
      <c r="E582" s="27">
        <v>0</v>
      </c>
      <c r="F582" s="27">
        <v>0</v>
      </c>
      <c r="H582" s="27">
        <v>6231.18</v>
      </c>
      <c r="J582" s="27">
        <v>-6231.18</v>
      </c>
      <c r="K582" s="25">
        <f t="shared" si="9"/>
        <v>-6231.18</v>
      </c>
    </row>
    <row r="583" spans="1:11" ht="15.95" customHeight="1" x14ac:dyDescent="0.2">
      <c r="A583" s="26">
        <v>218</v>
      </c>
      <c r="B583" s="369" t="s">
        <v>1042</v>
      </c>
      <c r="C583" s="370"/>
      <c r="D583" s="370"/>
      <c r="E583" s="27">
        <v>-1040133.12</v>
      </c>
      <c r="F583" s="27">
        <v>600001.93000000005</v>
      </c>
      <c r="H583" s="27">
        <v>22.12</v>
      </c>
      <c r="J583" s="27">
        <v>-440153.31</v>
      </c>
      <c r="K583" s="25">
        <f t="shared" si="9"/>
        <v>599979.81000000006</v>
      </c>
    </row>
    <row r="584" spans="1:11" ht="15.95" customHeight="1" x14ac:dyDescent="0.2">
      <c r="A584" s="28">
        <v>21801</v>
      </c>
      <c r="B584" s="371" t="s">
        <v>1043</v>
      </c>
      <c r="C584" s="372"/>
      <c r="D584" s="372"/>
      <c r="E584" s="29">
        <v>111332.6</v>
      </c>
      <c r="F584" s="29">
        <v>1.93</v>
      </c>
      <c r="G584" s="30"/>
      <c r="H584" s="29">
        <v>22.12</v>
      </c>
      <c r="I584" s="30"/>
      <c r="J584" s="29">
        <v>111312.41</v>
      </c>
      <c r="K584" s="31">
        <f t="shared" si="9"/>
        <v>-20.190000000002328</v>
      </c>
    </row>
    <row r="585" spans="1:11" ht="15.95" customHeight="1" x14ac:dyDescent="0.2">
      <c r="A585" s="26">
        <v>2180102</v>
      </c>
      <c r="B585" s="369" t="s">
        <v>1044</v>
      </c>
      <c r="C585" s="370"/>
      <c r="D585" s="370"/>
      <c r="E585" s="27">
        <v>-91861.41</v>
      </c>
      <c r="F585" s="27">
        <v>1.93</v>
      </c>
      <c r="H585" s="27">
        <v>8.65</v>
      </c>
      <c r="J585" s="27">
        <v>-91868.13</v>
      </c>
      <c r="K585" s="25">
        <f t="shared" si="9"/>
        <v>-6.7200000000011642</v>
      </c>
    </row>
    <row r="586" spans="1:11" ht="15.95" customHeight="1" x14ac:dyDescent="0.2">
      <c r="A586" s="26" t="s">
        <v>1045</v>
      </c>
      <c r="B586" s="369" t="s">
        <v>1046</v>
      </c>
      <c r="C586" s="370"/>
      <c r="D586" s="370"/>
      <c r="E586" s="27">
        <v>-91861.41</v>
      </c>
      <c r="F586" s="27">
        <v>1.93</v>
      </c>
      <c r="H586" s="27">
        <v>8.65</v>
      </c>
      <c r="J586" s="27">
        <v>-91868.13</v>
      </c>
      <c r="K586" s="25">
        <f t="shared" si="9"/>
        <v>-6.7200000000011642</v>
      </c>
    </row>
    <row r="587" spans="1:11" ht="15.95" customHeight="1" x14ac:dyDescent="0.2">
      <c r="A587" s="26">
        <v>2180103</v>
      </c>
      <c r="B587" s="369" t="s">
        <v>1047</v>
      </c>
      <c r="C587" s="370"/>
      <c r="D587" s="370"/>
      <c r="E587" s="27">
        <v>203194.01</v>
      </c>
      <c r="F587" s="27">
        <v>0</v>
      </c>
      <c r="H587" s="27">
        <v>13.47</v>
      </c>
      <c r="J587" s="27">
        <v>203180.54</v>
      </c>
      <c r="K587" s="25">
        <f t="shared" si="9"/>
        <v>-13.470000000001164</v>
      </c>
    </row>
    <row r="588" spans="1:11" ht="15.95" customHeight="1" x14ac:dyDescent="0.2">
      <c r="A588" s="26" t="s">
        <v>1048</v>
      </c>
      <c r="B588" s="369" t="s">
        <v>1049</v>
      </c>
      <c r="C588" s="370"/>
      <c r="D588" s="370"/>
      <c r="E588" s="27">
        <v>203194.01</v>
      </c>
      <c r="F588" s="27">
        <v>0</v>
      </c>
      <c r="H588" s="27">
        <v>13.47</v>
      </c>
      <c r="J588" s="27">
        <v>203180.54</v>
      </c>
      <c r="K588" s="25">
        <f t="shared" si="9"/>
        <v>-13.470000000001164</v>
      </c>
    </row>
    <row r="589" spans="1:11" ht="15.95" customHeight="1" x14ac:dyDescent="0.2">
      <c r="A589" s="28">
        <v>21802</v>
      </c>
      <c r="B589" s="371" t="s">
        <v>1050</v>
      </c>
      <c r="C589" s="372"/>
      <c r="D589" s="372"/>
      <c r="E589" s="29">
        <v>-1151465.72</v>
      </c>
      <c r="F589" s="29">
        <v>600000</v>
      </c>
      <c r="G589" s="30"/>
      <c r="H589" s="29">
        <v>0</v>
      </c>
      <c r="I589" s="30"/>
      <c r="J589" s="29">
        <v>-551465.72</v>
      </c>
      <c r="K589" s="31">
        <f t="shared" si="9"/>
        <v>600000</v>
      </c>
    </row>
    <row r="590" spans="1:11" ht="15.95" customHeight="1" x14ac:dyDescent="0.2">
      <c r="A590" s="26">
        <v>2180201</v>
      </c>
      <c r="B590" s="369" t="s">
        <v>1051</v>
      </c>
      <c r="C590" s="370"/>
      <c r="D590" s="370"/>
      <c r="E590" s="27">
        <v>-633549.69999999995</v>
      </c>
      <c r="F590" s="27">
        <v>600000</v>
      </c>
      <c r="H590" s="27">
        <v>0</v>
      </c>
      <c r="J590" s="27">
        <v>-33549.699999999997</v>
      </c>
      <c r="K590" s="25">
        <f t="shared" si="9"/>
        <v>600000</v>
      </c>
    </row>
    <row r="591" spans="1:11" ht="15.95" customHeight="1" x14ac:dyDescent="0.2">
      <c r="A591" s="26" t="s">
        <v>1052</v>
      </c>
      <c r="B591" s="369" t="s">
        <v>1053</v>
      </c>
      <c r="C591" s="370"/>
      <c r="D591" s="370"/>
      <c r="E591" s="27">
        <v>-633549.69999999995</v>
      </c>
      <c r="F591" s="27">
        <v>600000</v>
      </c>
      <c r="H591" s="27">
        <v>0</v>
      </c>
      <c r="J591" s="27">
        <v>-33549.699999999997</v>
      </c>
      <c r="K591" s="25">
        <f t="shared" si="9"/>
        <v>600000</v>
      </c>
    </row>
    <row r="592" spans="1:11" ht="15.95" customHeight="1" x14ac:dyDescent="0.2">
      <c r="A592" s="26">
        <v>2180202</v>
      </c>
      <c r="B592" s="369" t="s">
        <v>1054</v>
      </c>
      <c r="C592" s="370"/>
      <c r="D592" s="370"/>
      <c r="E592" s="27">
        <v>-3333.33</v>
      </c>
      <c r="F592" s="27">
        <v>0</v>
      </c>
      <c r="H592" s="27">
        <v>0</v>
      </c>
      <c r="J592" s="27">
        <v>-3333.33</v>
      </c>
      <c r="K592" s="25">
        <f t="shared" si="9"/>
        <v>0</v>
      </c>
    </row>
    <row r="593" spans="1:11" ht="15.95" customHeight="1" x14ac:dyDescent="0.2">
      <c r="A593" s="26" t="s">
        <v>1055</v>
      </c>
      <c r="B593" s="369" t="s">
        <v>1054</v>
      </c>
      <c r="C593" s="370"/>
      <c r="D593" s="370"/>
      <c r="E593" s="27">
        <v>-3333.33</v>
      </c>
      <c r="F593" s="27">
        <v>0</v>
      </c>
      <c r="H593" s="27">
        <v>0</v>
      </c>
      <c r="J593" s="27">
        <v>-3333.33</v>
      </c>
      <c r="K593" s="25">
        <f t="shared" si="9"/>
        <v>0</v>
      </c>
    </row>
    <row r="594" spans="1:11" ht="15.95" customHeight="1" x14ac:dyDescent="0.2">
      <c r="A594" s="26">
        <v>2180203</v>
      </c>
      <c r="B594" s="369" t="s">
        <v>1056</v>
      </c>
      <c r="C594" s="370"/>
      <c r="D594" s="370"/>
      <c r="E594" s="27">
        <v>-514582.69</v>
      </c>
      <c r="F594" s="27">
        <v>0</v>
      </c>
      <c r="H594" s="27">
        <v>0</v>
      </c>
      <c r="J594" s="27">
        <v>-514582.69</v>
      </c>
      <c r="K594" s="25">
        <f t="shared" si="9"/>
        <v>0</v>
      </c>
    </row>
    <row r="595" spans="1:11" ht="27.95" customHeight="1" x14ac:dyDescent="0.2">
      <c r="A595" s="26" t="s">
        <v>1057</v>
      </c>
      <c r="B595" s="369" t="s">
        <v>1056</v>
      </c>
      <c r="C595" s="370"/>
      <c r="D595" s="370"/>
      <c r="E595" s="27">
        <v>-514582.69</v>
      </c>
      <c r="F595" s="27">
        <v>0</v>
      </c>
      <c r="H595" s="27">
        <v>0</v>
      </c>
      <c r="J595" s="27">
        <v>-514582.69</v>
      </c>
      <c r="K595" s="25">
        <f t="shared" si="9"/>
        <v>0</v>
      </c>
    </row>
    <row r="596" spans="1:11" ht="15.95" customHeight="1" x14ac:dyDescent="0.2">
      <c r="A596" s="28">
        <v>219</v>
      </c>
      <c r="B596" s="371" t="s">
        <v>1058</v>
      </c>
      <c r="C596" s="372"/>
      <c r="D596" s="372"/>
      <c r="E596" s="29">
        <v>-2304882.84</v>
      </c>
      <c r="F596" s="29">
        <v>1702620.75</v>
      </c>
      <c r="G596" s="30"/>
      <c r="H596" s="29">
        <v>2478480.48</v>
      </c>
      <c r="I596" s="30"/>
      <c r="J596" s="29">
        <v>-3080742.57</v>
      </c>
      <c r="K596" s="31">
        <f t="shared" si="9"/>
        <v>-775859.73</v>
      </c>
    </row>
    <row r="597" spans="1:11" ht="15.95" customHeight="1" x14ac:dyDescent="0.2">
      <c r="A597" s="26">
        <v>21901</v>
      </c>
      <c r="B597" s="369" t="s">
        <v>1058</v>
      </c>
      <c r="C597" s="370"/>
      <c r="D597" s="370"/>
      <c r="E597" s="27">
        <v>-2304882.84</v>
      </c>
      <c r="F597" s="27">
        <v>1702620.75</v>
      </c>
      <c r="H597" s="27">
        <v>2478480.48</v>
      </c>
      <c r="J597" s="27">
        <v>-3080742.57</v>
      </c>
      <c r="K597" s="25">
        <f t="shared" si="9"/>
        <v>-775859.73</v>
      </c>
    </row>
    <row r="598" spans="1:11" ht="15.95" customHeight="1" x14ac:dyDescent="0.2">
      <c r="A598" s="26">
        <v>2190101</v>
      </c>
      <c r="B598" s="369" t="s">
        <v>1058</v>
      </c>
      <c r="C598" s="370"/>
      <c r="D598" s="370"/>
      <c r="E598" s="27">
        <v>-2304882.84</v>
      </c>
      <c r="F598" s="27">
        <v>1702620.75</v>
      </c>
      <c r="H598" s="27">
        <v>2478480.48</v>
      </c>
      <c r="J598" s="27">
        <v>-3080742.57</v>
      </c>
      <c r="K598" s="25">
        <f t="shared" si="9"/>
        <v>-775859.73</v>
      </c>
    </row>
    <row r="599" spans="1:11" ht="15.95" customHeight="1" x14ac:dyDescent="0.2">
      <c r="A599" s="26" t="s">
        <v>1059</v>
      </c>
      <c r="B599" s="369" t="s">
        <v>1060</v>
      </c>
      <c r="C599" s="370"/>
      <c r="D599" s="370"/>
      <c r="E599" s="27">
        <v>-4091.69</v>
      </c>
      <c r="F599" s="27">
        <v>46492.480000000003</v>
      </c>
      <c r="H599" s="27">
        <v>631384.28</v>
      </c>
      <c r="J599" s="27">
        <v>-588983.49</v>
      </c>
      <c r="K599" s="25">
        <f t="shared" si="9"/>
        <v>-584891.80000000005</v>
      </c>
    </row>
    <row r="600" spans="1:11" ht="15.95" customHeight="1" x14ac:dyDescent="0.2">
      <c r="A600" s="26" t="s">
        <v>1061</v>
      </c>
      <c r="B600" s="369" t="s">
        <v>1062</v>
      </c>
      <c r="C600" s="370"/>
      <c r="D600" s="370"/>
      <c r="E600" s="27">
        <v>-1538801.86</v>
      </c>
      <c r="F600" s="27">
        <v>1279801.7</v>
      </c>
      <c r="H600" s="27">
        <v>1264550.8899999999</v>
      </c>
      <c r="J600" s="27">
        <v>-1523551.05</v>
      </c>
      <c r="K600" s="25">
        <f t="shared" si="9"/>
        <v>15250.810000000056</v>
      </c>
    </row>
    <row r="601" spans="1:11" ht="15.95" customHeight="1" x14ac:dyDescent="0.2">
      <c r="A601" s="26" t="s">
        <v>1063</v>
      </c>
      <c r="B601" s="369" t="s">
        <v>1064</v>
      </c>
      <c r="C601" s="370"/>
      <c r="D601" s="370"/>
      <c r="E601" s="27">
        <v>-410860.1</v>
      </c>
      <c r="F601" s="27">
        <v>280314.53999999998</v>
      </c>
      <c r="H601" s="27">
        <v>276242.59999999998</v>
      </c>
      <c r="J601" s="27">
        <v>-406788.16</v>
      </c>
      <c r="K601" s="25">
        <f t="shared" si="9"/>
        <v>4071.9400000000023</v>
      </c>
    </row>
    <row r="602" spans="1:11" ht="15.95" customHeight="1" x14ac:dyDescent="0.2">
      <c r="A602" s="26" t="s">
        <v>1065</v>
      </c>
      <c r="B602" s="369" t="s">
        <v>1066</v>
      </c>
      <c r="C602" s="370"/>
      <c r="D602" s="370"/>
      <c r="E602" s="27">
        <v>-123104.15</v>
      </c>
      <c r="F602" s="27">
        <v>83786.850000000006</v>
      </c>
      <c r="H602" s="27">
        <v>82566.83</v>
      </c>
      <c r="J602" s="27">
        <v>-121884.13</v>
      </c>
      <c r="K602" s="25">
        <f t="shared" si="9"/>
        <v>1220.0199999999895</v>
      </c>
    </row>
    <row r="603" spans="1:11" ht="15.95" customHeight="1" x14ac:dyDescent="0.2">
      <c r="A603" s="26" t="s">
        <v>1067</v>
      </c>
      <c r="B603" s="369" t="s">
        <v>1068</v>
      </c>
      <c r="C603" s="370"/>
      <c r="D603" s="370"/>
      <c r="E603" s="27">
        <v>-226461.63</v>
      </c>
      <c r="F603" s="27">
        <v>18</v>
      </c>
      <c r="H603" s="27">
        <v>8571.25</v>
      </c>
      <c r="J603" s="27">
        <v>-235014.88</v>
      </c>
      <c r="K603" s="25">
        <f t="shared" si="9"/>
        <v>-8553.25</v>
      </c>
    </row>
    <row r="604" spans="1:11" ht="15.95" customHeight="1" x14ac:dyDescent="0.2">
      <c r="A604" s="26" t="s">
        <v>1069</v>
      </c>
      <c r="B604" s="369" t="s">
        <v>1070</v>
      </c>
      <c r="C604" s="370"/>
      <c r="D604" s="370"/>
      <c r="E604" s="27">
        <v>-1204.8399999999999</v>
      </c>
      <c r="F604" s="27">
        <v>9392.85</v>
      </c>
      <c r="H604" s="27">
        <v>165558.96</v>
      </c>
      <c r="J604" s="27">
        <v>-157370.95000000001</v>
      </c>
      <c r="K604" s="25">
        <f t="shared" si="9"/>
        <v>-156166.11000000002</v>
      </c>
    </row>
    <row r="605" spans="1:11" ht="15.95" customHeight="1" x14ac:dyDescent="0.2">
      <c r="A605" s="26" t="s">
        <v>1071</v>
      </c>
      <c r="B605" s="369" t="s">
        <v>1072</v>
      </c>
      <c r="C605" s="370"/>
      <c r="D605" s="370"/>
      <c r="E605" s="27">
        <v>-358.57</v>
      </c>
      <c r="F605" s="27">
        <v>2814.33</v>
      </c>
      <c r="H605" s="27">
        <v>49605.67</v>
      </c>
      <c r="J605" s="27">
        <v>-47149.91</v>
      </c>
      <c r="K605" s="25">
        <f t="shared" si="9"/>
        <v>-46791.340000000004</v>
      </c>
    </row>
    <row r="606" spans="1:11" ht="15.95" customHeight="1" x14ac:dyDescent="0.2">
      <c r="A606" s="26">
        <v>22</v>
      </c>
      <c r="B606" s="369" t="s">
        <v>1073</v>
      </c>
      <c r="C606" s="370"/>
      <c r="D606" s="370"/>
      <c r="E606" s="27">
        <v>-53695589.869999997</v>
      </c>
      <c r="F606" s="27">
        <v>342870.18</v>
      </c>
      <c r="H606" s="27">
        <v>1658207.93</v>
      </c>
      <c r="J606" s="27">
        <v>-55010927.619999997</v>
      </c>
      <c r="K606" s="25">
        <f t="shared" si="9"/>
        <v>-1315337.75</v>
      </c>
    </row>
    <row r="607" spans="1:11" ht="15.95" customHeight="1" x14ac:dyDescent="0.2">
      <c r="A607" s="28">
        <v>224</v>
      </c>
      <c r="B607" s="371" t="s">
        <v>1074</v>
      </c>
      <c r="C607" s="372"/>
      <c r="D607" s="372"/>
      <c r="E607" s="29">
        <v>-3540565.58</v>
      </c>
      <c r="F607" s="29">
        <v>342870.18</v>
      </c>
      <c r="G607" s="30"/>
      <c r="H607" s="29">
        <v>116345.17</v>
      </c>
      <c r="I607" s="30"/>
      <c r="J607" s="29">
        <v>-3314040.57</v>
      </c>
      <c r="K607" s="31">
        <f t="shared" si="9"/>
        <v>226525.01000000024</v>
      </c>
    </row>
    <row r="608" spans="1:11" ht="15.95" customHeight="1" x14ac:dyDescent="0.2">
      <c r="A608" s="26">
        <v>22401</v>
      </c>
      <c r="B608" s="369" t="s">
        <v>1075</v>
      </c>
      <c r="C608" s="370"/>
      <c r="D608" s="370"/>
      <c r="E608" s="27">
        <v>-3540565.58</v>
      </c>
      <c r="F608" s="27">
        <v>342870.18</v>
      </c>
      <c r="H608" s="27">
        <v>116345.17</v>
      </c>
      <c r="J608" s="27">
        <v>-3314040.57</v>
      </c>
      <c r="K608" s="25">
        <f t="shared" si="9"/>
        <v>226525.01000000024</v>
      </c>
    </row>
    <row r="609" spans="1:11" ht="15.95" customHeight="1" x14ac:dyDescent="0.2">
      <c r="A609" s="26">
        <v>2240101</v>
      </c>
      <c r="B609" s="369" t="s">
        <v>1075</v>
      </c>
      <c r="C609" s="370"/>
      <c r="D609" s="370"/>
      <c r="E609" s="27">
        <v>-3540565.58</v>
      </c>
      <c r="F609" s="27">
        <v>342870.18</v>
      </c>
      <c r="H609" s="27">
        <v>116345.17</v>
      </c>
      <c r="J609" s="27">
        <v>-3314040.57</v>
      </c>
      <c r="K609" s="25">
        <f t="shared" si="9"/>
        <v>226525.01000000024</v>
      </c>
    </row>
    <row r="610" spans="1:11" ht="15.95" customHeight="1" x14ac:dyDescent="0.2">
      <c r="A610" s="26" t="s">
        <v>1076</v>
      </c>
      <c r="B610" s="369" t="s">
        <v>634</v>
      </c>
      <c r="C610" s="370"/>
      <c r="D610" s="370"/>
      <c r="E610" s="27">
        <v>-3387630.04</v>
      </c>
      <c r="F610" s="27">
        <v>314907.84000000003</v>
      </c>
      <c r="H610" s="27">
        <v>114910.76</v>
      </c>
      <c r="J610" s="27">
        <v>-3187632.96</v>
      </c>
      <c r="K610" s="25">
        <f t="shared" si="9"/>
        <v>199997.08000000007</v>
      </c>
    </row>
    <row r="611" spans="1:11" ht="15.95" customHeight="1" x14ac:dyDescent="0.2">
      <c r="A611" s="26" t="s">
        <v>1077</v>
      </c>
      <c r="B611" s="369" t="s">
        <v>652</v>
      </c>
      <c r="C611" s="370"/>
      <c r="D611" s="370"/>
      <c r="E611" s="27">
        <v>-152935.54</v>
      </c>
      <c r="F611" s="27">
        <v>27962.34</v>
      </c>
      <c r="H611" s="27">
        <v>1434.41</v>
      </c>
      <c r="J611" s="27">
        <v>-126407.61</v>
      </c>
      <c r="K611" s="25">
        <f t="shared" si="9"/>
        <v>26527.930000000008</v>
      </c>
    </row>
    <row r="612" spans="1:11" ht="15.95" customHeight="1" x14ac:dyDescent="0.2">
      <c r="A612" s="28">
        <v>225</v>
      </c>
      <c r="B612" s="371" t="s">
        <v>1078</v>
      </c>
      <c r="C612" s="372"/>
      <c r="D612" s="372"/>
      <c r="E612" s="29">
        <v>-50155024.289999999</v>
      </c>
      <c r="F612" s="29">
        <v>0</v>
      </c>
      <c r="G612" s="30"/>
      <c r="H612" s="29">
        <v>1541862.76</v>
      </c>
      <c r="I612" s="30"/>
      <c r="J612" s="29">
        <v>-51696887.049999997</v>
      </c>
      <c r="K612" s="31">
        <f t="shared" si="9"/>
        <v>-1541862.7599999979</v>
      </c>
    </row>
    <row r="613" spans="1:11" ht="15.95" customHeight="1" x14ac:dyDescent="0.2">
      <c r="A613" s="26">
        <v>22501</v>
      </c>
      <c r="B613" s="369" t="s">
        <v>1079</v>
      </c>
      <c r="C613" s="370"/>
      <c r="D613" s="370"/>
      <c r="E613" s="27">
        <v>-50155024.289999999</v>
      </c>
      <c r="F613" s="27">
        <v>0</v>
      </c>
      <c r="H613" s="27">
        <v>1541862.76</v>
      </c>
      <c r="J613" s="27">
        <v>-51696887.049999997</v>
      </c>
      <c r="K613" s="25">
        <f t="shared" si="9"/>
        <v>-1541862.7599999979</v>
      </c>
    </row>
    <row r="614" spans="1:11" ht="15.95" customHeight="1" x14ac:dyDescent="0.2">
      <c r="A614" s="26">
        <v>2250101</v>
      </c>
      <c r="B614" s="369" t="s">
        <v>1079</v>
      </c>
      <c r="C614" s="370"/>
      <c r="D614" s="370"/>
      <c r="E614" s="27">
        <v>-50155024.289999999</v>
      </c>
      <c r="F614" s="27">
        <v>0</v>
      </c>
      <c r="H614" s="27">
        <v>1541862.76</v>
      </c>
      <c r="J614" s="27">
        <v>-51696887.049999997</v>
      </c>
      <c r="K614" s="25">
        <f t="shared" si="9"/>
        <v>-1541862.7599999979</v>
      </c>
    </row>
    <row r="615" spans="1:11" ht="15.95" customHeight="1" x14ac:dyDescent="0.2">
      <c r="A615" s="26" t="s">
        <v>1080</v>
      </c>
      <c r="B615" s="369" t="s">
        <v>1081</v>
      </c>
      <c r="C615" s="370"/>
      <c r="D615" s="370"/>
      <c r="E615" s="27">
        <v>-50153955.340000004</v>
      </c>
      <c r="F615" s="27">
        <v>0</v>
      </c>
      <c r="H615" s="27">
        <v>1541829.9</v>
      </c>
      <c r="J615" s="27">
        <v>-51695785.240000002</v>
      </c>
      <c r="K615" s="25">
        <f t="shared" si="9"/>
        <v>-1541829.8999999985</v>
      </c>
    </row>
    <row r="616" spans="1:11" ht="15.95" customHeight="1" x14ac:dyDescent="0.2">
      <c r="A616" s="26" t="s">
        <v>1082</v>
      </c>
      <c r="B616" s="369" t="s">
        <v>1083</v>
      </c>
      <c r="C616" s="370"/>
      <c r="D616" s="370"/>
      <c r="E616" s="27">
        <v>-1068.95</v>
      </c>
      <c r="F616" s="27">
        <v>0</v>
      </c>
      <c r="H616" s="27">
        <v>32.86</v>
      </c>
      <c r="J616" s="27">
        <v>-1101.81</v>
      </c>
      <c r="K616" s="25">
        <f t="shared" si="9"/>
        <v>-32.8599999999999</v>
      </c>
    </row>
    <row r="617" spans="1:11" ht="15.95" customHeight="1" x14ac:dyDescent="0.2">
      <c r="A617" s="26">
        <v>23</v>
      </c>
      <c r="B617" s="369" t="s">
        <v>1091</v>
      </c>
      <c r="C617" s="370"/>
      <c r="D617" s="370"/>
      <c r="E617" s="27">
        <v>-265786956.05000001</v>
      </c>
      <c r="F617" s="27">
        <v>75865385.939999998</v>
      </c>
      <c r="H617" s="27">
        <v>59612964.270000003</v>
      </c>
      <c r="J617" s="27">
        <v>-249534534.38</v>
      </c>
      <c r="K617" s="25">
        <f t="shared" si="9"/>
        <v>16252421.670000017</v>
      </c>
    </row>
    <row r="618" spans="1:11" ht="15.95" customHeight="1" x14ac:dyDescent="0.2">
      <c r="A618" s="26">
        <v>231</v>
      </c>
      <c r="B618" s="369" t="s">
        <v>1092</v>
      </c>
      <c r="C618" s="370"/>
      <c r="D618" s="370"/>
      <c r="E618" s="27">
        <v>-332778173.26999998</v>
      </c>
      <c r="F618" s="27">
        <v>59498876</v>
      </c>
      <c r="H618" s="27">
        <v>39415.83</v>
      </c>
      <c r="J618" s="27">
        <v>-273318713.10000002</v>
      </c>
      <c r="K618" s="25">
        <f t="shared" si="9"/>
        <v>59459460.169999957</v>
      </c>
    </row>
    <row r="619" spans="1:11" ht="15.95" customHeight="1" x14ac:dyDescent="0.2">
      <c r="A619" s="26">
        <v>23101</v>
      </c>
      <c r="B619" s="369" t="s">
        <v>1092</v>
      </c>
      <c r="C619" s="370"/>
      <c r="D619" s="370"/>
      <c r="E619" s="27">
        <v>-332778173.26999998</v>
      </c>
      <c r="F619" s="27">
        <v>59498876</v>
      </c>
      <c r="H619" s="27">
        <v>39415.83</v>
      </c>
      <c r="J619" s="27">
        <v>-273318713.10000002</v>
      </c>
      <c r="K619" s="25">
        <f t="shared" si="9"/>
        <v>59459460.169999957</v>
      </c>
    </row>
    <row r="620" spans="1:11" ht="15.95" customHeight="1" x14ac:dyDescent="0.2">
      <c r="A620" s="26">
        <v>2310101</v>
      </c>
      <c r="B620" s="369" t="s">
        <v>1092</v>
      </c>
      <c r="C620" s="370"/>
      <c r="D620" s="370"/>
      <c r="E620" s="27">
        <v>-332778173.26999998</v>
      </c>
      <c r="F620" s="27">
        <v>59498876</v>
      </c>
      <c r="H620" s="27">
        <v>39415.83</v>
      </c>
      <c r="J620" s="27">
        <v>-273318713.10000002</v>
      </c>
      <c r="K620" s="25">
        <f t="shared" si="9"/>
        <v>59459460.169999957</v>
      </c>
    </row>
    <row r="621" spans="1:11" ht="15.95" customHeight="1" x14ac:dyDescent="0.2">
      <c r="A621" s="26" t="s">
        <v>1093</v>
      </c>
      <c r="B621" s="369" t="s">
        <v>1081</v>
      </c>
      <c r="C621" s="370"/>
      <c r="D621" s="370"/>
      <c r="E621" s="27">
        <v>-332557573.77999997</v>
      </c>
      <c r="F621" s="27">
        <v>59459460.170000002</v>
      </c>
      <c r="H621" s="27">
        <v>39415.83</v>
      </c>
      <c r="J621" s="27">
        <v>-273137529.44</v>
      </c>
      <c r="K621" s="25">
        <f t="shared" si="9"/>
        <v>59420044.339999974</v>
      </c>
    </row>
    <row r="622" spans="1:11" ht="15.95" customHeight="1" x14ac:dyDescent="0.2">
      <c r="A622" s="26" t="s">
        <v>1094</v>
      </c>
      <c r="B622" s="369" t="s">
        <v>1083</v>
      </c>
      <c r="C622" s="370"/>
      <c r="D622" s="370"/>
      <c r="E622" s="27">
        <v>-220599.49</v>
      </c>
      <c r="F622" s="27">
        <v>39415.83</v>
      </c>
      <c r="H622" s="27">
        <v>0</v>
      </c>
      <c r="J622" s="27">
        <v>-181183.66</v>
      </c>
      <c r="K622" s="25">
        <f t="shared" si="9"/>
        <v>39415.829999999987</v>
      </c>
    </row>
    <row r="623" spans="1:11" ht="15.95" customHeight="1" x14ac:dyDescent="0.2">
      <c r="A623" s="26">
        <v>234</v>
      </c>
      <c r="B623" s="369" t="s">
        <v>1095</v>
      </c>
      <c r="C623" s="370"/>
      <c r="D623" s="370"/>
      <c r="E623" s="27">
        <v>2783577.44</v>
      </c>
      <c r="F623" s="27">
        <v>0</v>
      </c>
      <c r="H623" s="27">
        <v>0</v>
      </c>
      <c r="J623" s="27">
        <v>2783577.44</v>
      </c>
      <c r="K623" s="25">
        <f t="shared" si="9"/>
        <v>0</v>
      </c>
    </row>
    <row r="624" spans="1:11" ht="15.95" customHeight="1" x14ac:dyDescent="0.2">
      <c r="A624" s="26">
        <v>23401</v>
      </c>
      <c r="B624" s="369" t="s">
        <v>1096</v>
      </c>
      <c r="C624" s="370"/>
      <c r="D624" s="370"/>
      <c r="E624" s="27">
        <v>2783577.44</v>
      </c>
      <c r="F624" s="27">
        <v>0</v>
      </c>
      <c r="H624" s="27">
        <v>0</v>
      </c>
      <c r="J624" s="27">
        <v>2783577.44</v>
      </c>
      <c r="K624" s="25">
        <f t="shared" si="9"/>
        <v>0</v>
      </c>
    </row>
    <row r="625" spans="1:11" ht="15.95" customHeight="1" x14ac:dyDescent="0.2">
      <c r="A625" s="26">
        <v>2340101</v>
      </c>
      <c r="B625" s="369" t="s">
        <v>1096</v>
      </c>
      <c r="C625" s="370"/>
      <c r="D625" s="370"/>
      <c r="E625" s="27">
        <v>2783577.44</v>
      </c>
      <c r="F625" s="27">
        <v>0</v>
      </c>
      <c r="H625" s="27">
        <v>0</v>
      </c>
      <c r="J625" s="27">
        <v>2783577.44</v>
      </c>
      <c r="K625" s="25">
        <f t="shared" si="9"/>
        <v>0</v>
      </c>
    </row>
    <row r="626" spans="1:11" ht="15.95" customHeight="1" x14ac:dyDescent="0.2">
      <c r="A626" s="26" t="s">
        <v>1545</v>
      </c>
      <c r="B626" s="369" t="s">
        <v>1095</v>
      </c>
      <c r="C626" s="370"/>
      <c r="D626" s="370"/>
      <c r="E626" s="27">
        <v>2783577.44</v>
      </c>
      <c r="F626" s="27">
        <v>0</v>
      </c>
      <c r="H626" s="27">
        <v>0</v>
      </c>
      <c r="J626" s="27">
        <v>2783577.44</v>
      </c>
      <c r="K626" s="25">
        <f t="shared" si="9"/>
        <v>0</v>
      </c>
    </row>
    <row r="627" spans="1:11" ht="15.95" customHeight="1" x14ac:dyDescent="0.2">
      <c r="A627" s="26">
        <v>237</v>
      </c>
      <c r="B627" s="369" t="s">
        <v>1099</v>
      </c>
      <c r="C627" s="370"/>
      <c r="D627" s="370"/>
      <c r="E627" s="27">
        <v>-1378805.44</v>
      </c>
      <c r="F627" s="27">
        <v>0</v>
      </c>
      <c r="H627" s="27">
        <v>42737.06</v>
      </c>
      <c r="J627" s="27">
        <v>-1421542.5</v>
      </c>
      <c r="K627" s="25">
        <f t="shared" si="9"/>
        <v>-42737.060000000056</v>
      </c>
    </row>
    <row r="628" spans="1:11" ht="15.95" customHeight="1" x14ac:dyDescent="0.2">
      <c r="A628" s="26">
        <v>23701</v>
      </c>
      <c r="B628" s="369" t="s">
        <v>1100</v>
      </c>
      <c r="C628" s="370"/>
      <c r="D628" s="370"/>
      <c r="E628" s="27">
        <v>-1378805.44</v>
      </c>
      <c r="F628" s="27">
        <v>0</v>
      </c>
      <c r="H628" s="27">
        <v>42737.06</v>
      </c>
      <c r="J628" s="27">
        <v>-1421542.5</v>
      </c>
      <c r="K628" s="25">
        <f t="shared" si="9"/>
        <v>-42737.060000000056</v>
      </c>
    </row>
    <row r="629" spans="1:11" ht="15.95" customHeight="1" x14ac:dyDescent="0.2">
      <c r="A629" s="26">
        <v>2370101</v>
      </c>
      <c r="B629" s="369" t="s">
        <v>1100</v>
      </c>
      <c r="C629" s="370"/>
      <c r="D629" s="370"/>
      <c r="E629" s="27">
        <v>-1378805.44</v>
      </c>
      <c r="F629" s="27">
        <v>0</v>
      </c>
      <c r="H629" s="27">
        <v>42737.06</v>
      </c>
      <c r="J629" s="27">
        <v>-1421542.5</v>
      </c>
      <c r="K629" s="25">
        <f t="shared" si="9"/>
        <v>-42737.060000000056</v>
      </c>
    </row>
    <row r="630" spans="1:11" ht="15.95" customHeight="1" x14ac:dyDescent="0.2">
      <c r="A630" s="28" t="s">
        <v>1101</v>
      </c>
      <c r="B630" s="371" t="s">
        <v>1102</v>
      </c>
      <c r="C630" s="372"/>
      <c r="D630" s="372"/>
      <c r="E630" s="29">
        <v>-1378805.44</v>
      </c>
      <c r="F630" s="29">
        <v>0</v>
      </c>
      <c r="G630" s="30"/>
      <c r="H630" s="29">
        <v>42737.06</v>
      </c>
      <c r="I630" s="30"/>
      <c r="J630" s="29">
        <v>-1421542.5</v>
      </c>
      <c r="K630" s="31">
        <f t="shared" si="9"/>
        <v>-42737.060000000056</v>
      </c>
    </row>
    <row r="631" spans="1:11" ht="15.95" customHeight="1" x14ac:dyDescent="0.2">
      <c r="A631" s="26">
        <v>238</v>
      </c>
      <c r="B631" s="369" t="s">
        <v>1103</v>
      </c>
      <c r="C631" s="370"/>
      <c r="D631" s="370"/>
      <c r="E631" s="27">
        <v>-8546606.6600000001</v>
      </c>
      <c r="F631" s="27">
        <v>0</v>
      </c>
      <c r="H631" s="27">
        <v>0</v>
      </c>
      <c r="J631" s="27">
        <v>-8546606.6600000001</v>
      </c>
      <c r="K631" s="25">
        <f t="shared" si="9"/>
        <v>0</v>
      </c>
    </row>
    <row r="632" spans="1:11" ht="15.95" customHeight="1" x14ac:dyDescent="0.2">
      <c r="A632" s="26">
        <v>23801</v>
      </c>
      <c r="B632" s="369" t="s">
        <v>1103</v>
      </c>
      <c r="C632" s="370"/>
      <c r="D632" s="370"/>
      <c r="E632" s="27">
        <v>-8546606.6600000001</v>
      </c>
      <c r="F632" s="27">
        <v>0</v>
      </c>
      <c r="H632" s="27">
        <v>0</v>
      </c>
      <c r="J632" s="27">
        <v>-8546606.6600000001</v>
      </c>
      <c r="K632" s="25">
        <f t="shared" si="9"/>
        <v>0</v>
      </c>
    </row>
    <row r="633" spans="1:11" ht="15.95" customHeight="1" x14ac:dyDescent="0.2">
      <c r="A633" s="26">
        <v>2380101</v>
      </c>
      <c r="B633" s="369" t="s">
        <v>1103</v>
      </c>
      <c r="C633" s="370"/>
      <c r="D633" s="370"/>
      <c r="E633" s="27">
        <v>-8546606.6600000001</v>
      </c>
      <c r="F633" s="27">
        <v>0</v>
      </c>
      <c r="H633" s="27">
        <v>0</v>
      </c>
      <c r="J633" s="27">
        <v>-8546606.6600000001</v>
      </c>
      <c r="K633" s="25">
        <f t="shared" si="9"/>
        <v>0</v>
      </c>
    </row>
    <row r="634" spans="1:11" ht="15.95" customHeight="1" x14ac:dyDescent="0.2">
      <c r="A634" s="26" t="s">
        <v>1104</v>
      </c>
      <c r="B634" s="369" t="s">
        <v>1081</v>
      </c>
      <c r="C634" s="370"/>
      <c r="D634" s="370"/>
      <c r="E634" s="27">
        <v>-8546606.6600000001</v>
      </c>
      <c r="F634" s="27">
        <v>0</v>
      </c>
      <c r="H634" s="27">
        <v>0</v>
      </c>
      <c r="J634" s="27">
        <v>-8546606.6600000001</v>
      </c>
      <c r="K634" s="25">
        <f t="shared" si="9"/>
        <v>0</v>
      </c>
    </row>
    <row r="635" spans="1:11" ht="15.95" customHeight="1" x14ac:dyDescent="0.2">
      <c r="A635" s="26">
        <v>239</v>
      </c>
      <c r="B635" s="369" t="s">
        <v>1105</v>
      </c>
      <c r="C635" s="370"/>
      <c r="D635" s="370"/>
      <c r="E635" s="27">
        <v>74133051.879999995</v>
      </c>
      <c r="F635" s="27">
        <v>16366509.939999999</v>
      </c>
      <c r="H635" s="27">
        <v>59530811.380000003</v>
      </c>
      <c r="J635" s="27">
        <v>30968750.440000001</v>
      </c>
      <c r="K635" s="25">
        <f t="shared" si="9"/>
        <v>-43164301.439999998</v>
      </c>
    </row>
    <row r="636" spans="1:11" ht="15.95" customHeight="1" x14ac:dyDescent="0.2">
      <c r="A636" s="26">
        <v>23901</v>
      </c>
      <c r="B636" s="369" t="s">
        <v>1105</v>
      </c>
      <c r="C636" s="370"/>
      <c r="D636" s="370"/>
      <c r="E636" s="27">
        <v>74133051.879999995</v>
      </c>
      <c r="F636" s="27">
        <v>16366509.939999999</v>
      </c>
      <c r="H636" s="27">
        <v>59530811.380000003</v>
      </c>
      <c r="J636" s="27">
        <v>30968750.440000001</v>
      </c>
      <c r="K636" s="25">
        <f t="shared" si="9"/>
        <v>-43164301.439999998</v>
      </c>
    </row>
    <row r="637" spans="1:11" ht="15.95" customHeight="1" x14ac:dyDescent="0.2">
      <c r="A637" s="26">
        <v>2390101</v>
      </c>
      <c r="B637" s="369" t="s">
        <v>1106</v>
      </c>
      <c r="C637" s="370"/>
      <c r="D637" s="370"/>
      <c r="E637" s="27">
        <v>-71351.210000000006</v>
      </c>
      <c r="F637" s="27">
        <v>16366509.939999999</v>
      </c>
      <c r="H637" s="27">
        <v>0</v>
      </c>
      <c r="J637" s="27">
        <v>16295158.73</v>
      </c>
      <c r="K637" s="25">
        <f t="shared" si="9"/>
        <v>16366509.940000001</v>
      </c>
    </row>
    <row r="638" spans="1:11" ht="15.95" customHeight="1" x14ac:dyDescent="0.2">
      <c r="A638" s="26" t="s">
        <v>1107</v>
      </c>
      <c r="B638" s="369" t="s">
        <v>1108</v>
      </c>
      <c r="C638" s="370"/>
      <c r="D638" s="370"/>
      <c r="E638" s="27">
        <v>-71351.210000000006</v>
      </c>
      <c r="F638" s="27">
        <v>71351.210000000006</v>
      </c>
      <c r="H638" s="27">
        <v>0</v>
      </c>
      <c r="J638" s="27">
        <v>0</v>
      </c>
      <c r="K638" s="25">
        <f t="shared" si="9"/>
        <v>71351.210000000006</v>
      </c>
    </row>
    <row r="639" spans="1:11" ht="15.95" customHeight="1" x14ac:dyDescent="0.2">
      <c r="A639" s="26" t="s">
        <v>1109</v>
      </c>
      <c r="B639" s="369" t="s">
        <v>1110</v>
      </c>
      <c r="C639" s="370"/>
      <c r="D639" s="370"/>
      <c r="E639" s="27">
        <v>0</v>
      </c>
      <c r="F639" s="27">
        <v>16295158.73</v>
      </c>
      <c r="H639" s="27">
        <v>0</v>
      </c>
      <c r="J639" s="27">
        <v>16295158.73</v>
      </c>
      <c r="K639" s="25">
        <f t="shared" si="9"/>
        <v>16295158.73</v>
      </c>
    </row>
    <row r="640" spans="1:11" ht="15.95" customHeight="1" x14ac:dyDescent="0.2">
      <c r="A640" s="26">
        <v>2390102</v>
      </c>
      <c r="B640" s="369" t="s">
        <v>1111</v>
      </c>
      <c r="C640" s="370"/>
      <c r="D640" s="370"/>
      <c r="E640" s="27">
        <v>74204403.090000004</v>
      </c>
      <c r="F640" s="27">
        <v>0</v>
      </c>
      <c r="H640" s="27">
        <v>59530811.380000003</v>
      </c>
      <c r="J640" s="27">
        <v>14673591.710000001</v>
      </c>
      <c r="K640" s="25">
        <f t="shared" si="9"/>
        <v>-59530811.380000003</v>
      </c>
    </row>
    <row r="641" spans="1:11" ht="15.95" customHeight="1" x14ac:dyDescent="0.2">
      <c r="A641" s="26" t="s">
        <v>1617</v>
      </c>
      <c r="B641" s="369" t="s">
        <v>1618</v>
      </c>
      <c r="C641" s="370"/>
      <c r="D641" s="370"/>
      <c r="E641" s="27">
        <v>18872365.699999999</v>
      </c>
      <c r="F641" s="27">
        <v>0</v>
      </c>
      <c r="H641" s="27">
        <v>18872365.699999999</v>
      </c>
      <c r="J641" s="27">
        <v>0</v>
      </c>
      <c r="K641" s="25">
        <f t="shared" si="9"/>
        <v>-18872365.699999999</v>
      </c>
    </row>
    <row r="642" spans="1:11" ht="15.95" customHeight="1" x14ac:dyDescent="0.2">
      <c r="A642" s="26" t="s">
        <v>1619</v>
      </c>
      <c r="B642" s="369" t="s">
        <v>1620</v>
      </c>
      <c r="C642" s="370"/>
      <c r="D642" s="370"/>
      <c r="E642" s="27">
        <v>22694376.539999999</v>
      </c>
      <c r="F642" s="27">
        <v>0</v>
      </c>
      <c r="H642" s="27">
        <v>22694376.539999999</v>
      </c>
      <c r="J642" s="27">
        <v>0</v>
      </c>
      <c r="K642" s="25">
        <f t="shared" si="9"/>
        <v>-22694376.539999999</v>
      </c>
    </row>
    <row r="643" spans="1:11" ht="15.95" customHeight="1" x14ac:dyDescent="0.2">
      <c r="A643" s="26" t="s">
        <v>1621</v>
      </c>
      <c r="B643" s="369" t="s">
        <v>1622</v>
      </c>
      <c r="C643" s="370"/>
      <c r="D643" s="370"/>
      <c r="E643" s="27">
        <v>17892717.93</v>
      </c>
      <c r="F643" s="27">
        <v>0</v>
      </c>
      <c r="H643" s="27">
        <v>17892717.93</v>
      </c>
      <c r="J643" s="27">
        <v>0</v>
      </c>
      <c r="K643" s="25">
        <f t="shared" ref="K643:K706" si="10">J643-E643</f>
        <v>-17892717.93</v>
      </c>
    </row>
    <row r="644" spans="1:11" ht="15.95" customHeight="1" x14ac:dyDescent="0.2">
      <c r="A644" s="26" t="s">
        <v>1112</v>
      </c>
      <c r="B644" s="369" t="s">
        <v>1113</v>
      </c>
      <c r="C644" s="370"/>
      <c r="D644" s="370"/>
      <c r="E644" s="27">
        <v>14744942.92</v>
      </c>
      <c r="F644" s="27">
        <v>0</v>
      </c>
      <c r="H644" s="27">
        <v>71351.210000000006</v>
      </c>
      <c r="J644" s="27">
        <v>14673591.710000001</v>
      </c>
      <c r="K644" s="25">
        <f t="shared" si="10"/>
        <v>-71351.209999999031</v>
      </c>
    </row>
    <row r="645" spans="1:11" ht="15.95" customHeight="1" x14ac:dyDescent="0.2">
      <c r="A645" s="26">
        <v>24</v>
      </c>
      <c r="B645" s="369" t="s">
        <v>1119</v>
      </c>
      <c r="C645" s="370"/>
      <c r="D645" s="370"/>
      <c r="E645" s="27">
        <v>-1236717.49</v>
      </c>
      <c r="F645" s="27">
        <v>0</v>
      </c>
      <c r="H645" s="27">
        <v>0</v>
      </c>
      <c r="J645" s="27">
        <v>-1236717.49</v>
      </c>
      <c r="K645" s="25">
        <f t="shared" si="10"/>
        <v>0</v>
      </c>
    </row>
    <row r="646" spans="1:11" ht="15.95" customHeight="1" x14ac:dyDescent="0.2">
      <c r="A646" s="26">
        <v>241</v>
      </c>
      <c r="B646" s="369" t="s">
        <v>456</v>
      </c>
      <c r="C646" s="370"/>
      <c r="D646" s="370"/>
      <c r="E646" s="27">
        <v>-1236717.49</v>
      </c>
      <c r="F646" s="27">
        <v>0</v>
      </c>
      <c r="H646" s="27">
        <v>0</v>
      </c>
      <c r="J646" s="27">
        <v>-1236717.49</v>
      </c>
      <c r="K646" s="25">
        <f t="shared" si="10"/>
        <v>0</v>
      </c>
    </row>
    <row r="647" spans="1:11" ht="15.95" customHeight="1" x14ac:dyDescent="0.2">
      <c r="A647" s="26">
        <v>24101</v>
      </c>
      <c r="B647" s="369" t="s">
        <v>1120</v>
      </c>
      <c r="C647" s="370"/>
      <c r="D647" s="370"/>
      <c r="E647" s="27">
        <v>-1236717.49</v>
      </c>
      <c r="F647" s="27">
        <v>0</v>
      </c>
      <c r="H647" s="27">
        <v>0</v>
      </c>
      <c r="J647" s="27">
        <v>-1236717.49</v>
      </c>
      <c r="K647" s="25">
        <f t="shared" si="10"/>
        <v>0</v>
      </c>
    </row>
    <row r="648" spans="1:11" ht="15.95" customHeight="1" x14ac:dyDescent="0.2">
      <c r="A648" s="26">
        <v>2410101</v>
      </c>
      <c r="B648" s="369" t="s">
        <v>457</v>
      </c>
      <c r="C648" s="370"/>
      <c r="D648" s="370"/>
      <c r="E648" s="27">
        <v>-1236717.49</v>
      </c>
      <c r="F648" s="27">
        <v>0</v>
      </c>
      <c r="H648" s="27">
        <v>0</v>
      </c>
      <c r="J648" s="27">
        <v>-1236717.49</v>
      </c>
      <c r="K648" s="25">
        <f t="shared" si="10"/>
        <v>0</v>
      </c>
    </row>
    <row r="649" spans="1:11" ht="27.95" customHeight="1" x14ac:dyDescent="0.2">
      <c r="A649" s="26" t="s">
        <v>1121</v>
      </c>
      <c r="B649" s="369" t="s">
        <v>459</v>
      </c>
      <c r="C649" s="370"/>
      <c r="D649" s="370"/>
      <c r="E649" s="27">
        <v>-1236717.49</v>
      </c>
      <c r="F649" s="27">
        <v>0</v>
      </c>
      <c r="H649" s="27">
        <v>0</v>
      </c>
      <c r="J649" s="27">
        <v>-1236717.49</v>
      </c>
      <c r="K649" s="25">
        <f t="shared" si="10"/>
        <v>0</v>
      </c>
    </row>
    <row r="650" spans="1:11" ht="15.95" customHeight="1" x14ac:dyDescent="0.2">
      <c r="A650" s="26">
        <v>3</v>
      </c>
      <c r="B650" s="369" t="s">
        <v>1122</v>
      </c>
      <c r="C650" s="370"/>
      <c r="D650" s="370"/>
      <c r="E650" s="27">
        <v>0</v>
      </c>
      <c r="F650" s="27">
        <v>5191117.3499999996</v>
      </c>
      <c r="H650" s="27">
        <v>31050814.399999999</v>
      </c>
      <c r="J650" s="27">
        <v>-25859697.050000001</v>
      </c>
      <c r="K650" s="25">
        <f t="shared" si="10"/>
        <v>-25859697.050000001</v>
      </c>
    </row>
    <row r="651" spans="1:11" ht="15.95" customHeight="1" x14ac:dyDescent="0.2">
      <c r="A651" s="26">
        <v>31</v>
      </c>
      <c r="B651" s="369" t="s">
        <v>1123</v>
      </c>
      <c r="C651" s="370"/>
      <c r="D651" s="370"/>
      <c r="E651" s="27">
        <v>0</v>
      </c>
      <c r="F651" s="27">
        <v>0</v>
      </c>
      <c r="H651" s="27">
        <v>31050795.129999999</v>
      </c>
      <c r="J651" s="27">
        <v>-31050795.129999999</v>
      </c>
      <c r="K651" s="25">
        <f t="shared" si="10"/>
        <v>-31050795.129999999</v>
      </c>
    </row>
    <row r="652" spans="1:11" ht="15.95" customHeight="1" x14ac:dyDescent="0.2">
      <c r="A652" s="26">
        <v>311</v>
      </c>
      <c r="B652" s="369" t="s">
        <v>1124</v>
      </c>
      <c r="C652" s="370"/>
      <c r="D652" s="370"/>
      <c r="E652" s="27">
        <v>0</v>
      </c>
      <c r="F652" s="27">
        <v>0</v>
      </c>
      <c r="H652" s="27">
        <v>31050795.129999999</v>
      </c>
      <c r="J652" s="27">
        <v>-31050795.129999999</v>
      </c>
      <c r="K652" s="25">
        <f t="shared" si="10"/>
        <v>-31050795.129999999</v>
      </c>
    </row>
    <row r="653" spans="1:11" ht="15.95" customHeight="1" x14ac:dyDescent="0.2">
      <c r="A653" s="26">
        <v>31101</v>
      </c>
      <c r="B653" s="369" t="s">
        <v>1125</v>
      </c>
      <c r="C653" s="370"/>
      <c r="D653" s="370"/>
      <c r="E653" s="27">
        <v>0</v>
      </c>
      <c r="F653" s="27">
        <v>0</v>
      </c>
      <c r="H653" s="27">
        <v>27193776.600000001</v>
      </c>
      <c r="J653" s="27">
        <v>-27193776.600000001</v>
      </c>
      <c r="K653" s="25">
        <f t="shared" si="10"/>
        <v>-27193776.600000001</v>
      </c>
    </row>
    <row r="654" spans="1:11" ht="15.95" customHeight="1" x14ac:dyDescent="0.2">
      <c r="A654" s="26">
        <v>3110101</v>
      </c>
      <c r="B654" s="369" t="s">
        <v>1126</v>
      </c>
      <c r="C654" s="370"/>
      <c r="D654" s="370"/>
      <c r="E654" s="27">
        <v>0</v>
      </c>
      <c r="F654" s="27">
        <v>0</v>
      </c>
      <c r="H654" s="27">
        <v>27193776.600000001</v>
      </c>
      <c r="J654" s="27">
        <v>-27193776.600000001</v>
      </c>
      <c r="K654" s="25">
        <f t="shared" si="10"/>
        <v>-27193776.600000001</v>
      </c>
    </row>
    <row r="655" spans="1:11" ht="15.95" customHeight="1" x14ac:dyDescent="0.2">
      <c r="A655" s="26" t="s">
        <v>1127</v>
      </c>
      <c r="B655" s="369" t="s">
        <v>1128</v>
      </c>
      <c r="C655" s="370"/>
      <c r="D655" s="370"/>
      <c r="E655" s="27">
        <v>0</v>
      </c>
      <c r="F655" s="27">
        <v>0</v>
      </c>
      <c r="H655" s="27">
        <v>8330327.3300000001</v>
      </c>
      <c r="J655" s="27">
        <v>-8330327.3300000001</v>
      </c>
      <c r="K655" s="25">
        <f t="shared" si="10"/>
        <v>-8330327.3300000001</v>
      </c>
    </row>
    <row r="656" spans="1:11" ht="15.95" customHeight="1" x14ac:dyDescent="0.2">
      <c r="A656" s="26" t="s">
        <v>1129</v>
      </c>
      <c r="B656" s="369" t="s">
        <v>1130</v>
      </c>
      <c r="C656" s="370"/>
      <c r="D656" s="370"/>
      <c r="E656" s="27">
        <v>0</v>
      </c>
      <c r="F656" s="27">
        <v>0</v>
      </c>
      <c r="H656" s="27">
        <v>1426950.82</v>
      </c>
      <c r="J656" s="27">
        <v>-1426950.82</v>
      </c>
      <c r="K656" s="25">
        <f t="shared" si="10"/>
        <v>-1426950.82</v>
      </c>
    </row>
    <row r="657" spans="1:11" ht="15.95" customHeight="1" x14ac:dyDescent="0.2">
      <c r="A657" s="26" t="s">
        <v>1131</v>
      </c>
      <c r="B657" s="369" t="s">
        <v>1132</v>
      </c>
      <c r="C657" s="370"/>
      <c r="D657" s="370"/>
      <c r="E657" s="27">
        <v>0</v>
      </c>
      <c r="F657" s="27">
        <v>0</v>
      </c>
      <c r="H657" s="27">
        <v>11426729.289999999</v>
      </c>
      <c r="J657" s="27">
        <v>-11426729.289999999</v>
      </c>
      <c r="K657" s="25">
        <f t="shared" si="10"/>
        <v>-11426729.289999999</v>
      </c>
    </row>
    <row r="658" spans="1:11" ht="15.95" customHeight="1" x14ac:dyDescent="0.2">
      <c r="A658" s="26" t="s">
        <v>1133</v>
      </c>
      <c r="B658" s="369" t="s">
        <v>1134</v>
      </c>
      <c r="C658" s="370"/>
      <c r="D658" s="370"/>
      <c r="E658" s="27">
        <v>0</v>
      </c>
      <c r="F658" s="27">
        <v>0</v>
      </c>
      <c r="H658" s="27">
        <v>858835.55</v>
      </c>
      <c r="J658" s="27">
        <v>-858835.55</v>
      </c>
      <c r="K658" s="25">
        <f t="shared" si="10"/>
        <v>-858835.55</v>
      </c>
    </row>
    <row r="659" spans="1:11" ht="15.95" customHeight="1" x14ac:dyDescent="0.2">
      <c r="A659" s="26" t="s">
        <v>1135</v>
      </c>
      <c r="B659" s="369" t="s">
        <v>1136</v>
      </c>
      <c r="C659" s="370"/>
      <c r="D659" s="370"/>
      <c r="E659" s="27">
        <v>0</v>
      </c>
      <c r="F659" s="27">
        <v>0</v>
      </c>
      <c r="H659" s="27">
        <v>5150933.6100000003</v>
      </c>
      <c r="J659" s="27">
        <v>-5150933.6100000003</v>
      </c>
      <c r="K659" s="25">
        <f t="shared" si="10"/>
        <v>-5150933.6100000003</v>
      </c>
    </row>
    <row r="660" spans="1:11" ht="15.95" customHeight="1" x14ac:dyDescent="0.2">
      <c r="A660" s="26">
        <v>31103</v>
      </c>
      <c r="B660" s="369" t="s">
        <v>1137</v>
      </c>
      <c r="C660" s="370"/>
      <c r="D660" s="370"/>
      <c r="E660" s="27">
        <v>0</v>
      </c>
      <c r="F660" s="27">
        <v>0</v>
      </c>
      <c r="H660" s="27">
        <v>3857018.53</v>
      </c>
      <c r="J660" s="27">
        <v>-3857018.53</v>
      </c>
      <c r="K660" s="25">
        <f t="shared" si="10"/>
        <v>-3857018.53</v>
      </c>
    </row>
    <row r="661" spans="1:11" ht="15.95" customHeight="1" x14ac:dyDescent="0.2">
      <c r="A661" s="26">
        <v>3110301</v>
      </c>
      <c r="B661" s="369" t="s">
        <v>1138</v>
      </c>
      <c r="C661" s="370"/>
      <c r="D661" s="370"/>
      <c r="E661" s="27">
        <v>0</v>
      </c>
      <c r="F661" s="27">
        <v>0</v>
      </c>
      <c r="H661" s="27">
        <v>3857018.53</v>
      </c>
      <c r="J661" s="27">
        <v>-3857018.53</v>
      </c>
      <c r="K661" s="25">
        <f t="shared" si="10"/>
        <v>-3857018.53</v>
      </c>
    </row>
    <row r="662" spans="1:11" ht="15.95" customHeight="1" x14ac:dyDescent="0.2">
      <c r="A662" s="26" t="s">
        <v>1139</v>
      </c>
      <c r="B662" s="369" t="s">
        <v>1140</v>
      </c>
      <c r="C662" s="370"/>
      <c r="D662" s="370"/>
      <c r="E662" s="27">
        <v>0</v>
      </c>
      <c r="F662" s="27">
        <v>0</v>
      </c>
      <c r="H662" s="27">
        <v>3731806.03</v>
      </c>
      <c r="J662" s="27">
        <v>-3731806.03</v>
      </c>
      <c r="K662" s="25">
        <f t="shared" si="10"/>
        <v>-3731806.03</v>
      </c>
    </row>
    <row r="663" spans="1:11" ht="15.95" customHeight="1" x14ac:dyDescent="0.2">
      <c r="A663" s="26" t="s">
        <v>1546</v>
      </c>
      <c r="B663" s="369" t="s">
        <v>1547</v>
      </c>
      <c r="C663" s="370"/>
      <c r="D663" s="370"/>
      <c r="E663" s="27">
        <v>0</v>
      </c>
      <c r="F663" s="27">
        <v>0</v>
      </c>
      <c r="H663" s="27">
        <v>125212.5</v>
      </c>
      <c r="J663" s="27">
        <v>-125212.5</v>
      </c>
      <c r="K663" s="25">
        <f t="shared" si="10"/>
        <v>-125212.5</v>
      </c>
    </row>
    <row r="664" spans="1:11" ht="15.95" customHeight="1" x14ac:dyDescent="0.2">
      <c r="A664" s="26">
        <v>32</v>
      </c>
      <c r="B664" s="369" t="s">
        <v>1141</v>
      </c>
      <c r="C664" s="370"/>
      <c r="D664" s="370"/>
      <c r="E664" s="27">
        <v>0</v>
      </c>
      <c r="F664" s="27">
        <v>5191117.3499999996</v>
      </c>
      <c r="H664" s="27">
        <v>19.27</v>
      </c>
      <c r="J664" s="27">
        <v>5191098.08</v>
      </c>
      <c r="K664" s="25">
        <f t="shared" si="10"/>
        <v>5191098.08</v>
      </c>
    </row>
    <row r="665" spans="1:11" ht="15.95" customHeight="1" x14ac:dyDescent="0.2">
      <c r="A665" s="26">
        <v>321</v>
      </c>
      <c r="B665" s="369" t="s">
        <v>1124</v>
      </c>
      <c r="C665" s="370"/>
      <c r="D665" s="370"/>
      <c r="E665" s="27">
        <v>0</v>
      </c>
      <c r="F665" s="27">
        <v>5191117.3499999996</v>
      </c>
      <c r="H665" s="27">
        <v>19.27</v>
      </c>
      <c r="J665" s="27">
        <v>5191098.08</v>
      </c>
      <c r="K665" s="25">
        <f t="shared" si="10"/>
        <v>5191098.08</v>
      </c>
    </row>
    <row r="666" spans="1:11" ht="15.95" customHeight="1" x14ac:dyDescent="0.2">
      <c r="A666" s="26">
        <v>32101</v>
      </c>
      <c r="B666" s="369" t="s">
        <v>1142</v>
      </c>
      <c r="C666" s="370"/>
      <c r="D666" s="370"/>
      <c r="E666" s="27">
        <v>0</v>
      </c>
      <c r="F666" s="27">
        <v>5191117.3499999996</v>
      </c>
      <c r="H666" s="27">
        <v>19.27</v>
      </c>
      <c r="J666" s="27">
        <v>5191098.08</v>
      </c>
      <c r="K666" s="25">
        <f t="shared" si="10"/>
        <v>5191098.08</v>
      </c>
    </row>
    <row r="667" spans="1:11" ht="15.95" customHeight="1" x14ac:dyDescent="0.2">
      <c r="A667" s="26">
        <v>3210101</v>
      </c>
      <c r="B667" s="369" t="s">
        <v>1143</v>
      </c>
      <c r="C667" s="370"/>
      <c r="D667" s="370"/>
      <c r="E667" s="27">
        <v>0</v>
      </c>
      <c r="F667" s="27">
        <v>3921795.55</v>
      </c>
      <c r="H667" s="27">
        <v>0</v>
      </c>
      <c r="J667" s="27">
        <v>3921795.55</v>
      </c>
      <c r="K667" s="25">
        <f t="shared" si="10"/>
        <v>3921795.55</v>
      </c>
    </row>
    <row r="668" spans="1:11" ht="15.95" customHeight="1" x14ac:dyDescent="0.2">
      <c r="A668" s="26" t="s">
        <v>1144</v>
      </c>
      <c r="B668" s="369" t="s">
        <v>1145</v>
      </c>
      <c r="C668" s="370"/>
      <c r="D668" s="370"/>
      <c r="E668" s="27">
        <v>0</v>
      </c>
      <c r="F668" s="27">
        <v>462401.46</v>
      </c>
      <c r="H668" s="27">
        <v>0</v>
      </c>
      <c r="J668" s="27">
        <v>462401.46</v>
      </c>
      <c r="K668" s="25">
        <f t="shared" si="10"/>
        <v>462401.46</v>
      </c>
    </row>
    <row r="669" spans="1:11" ht="15.95" customHeight="1" x14ac:dyDescent="0.2">
      <c r="A669" s="26" t="s">
        <v>1146</v>
      </c>
      <c r="B669" s="369" t="s">
        <v>1147</v>
      </c>
      <c r="C669" s="370"/>
      <c r="D669" s="370"/>
      <c r="E669" s="27">
        <v>0</v>
      </c>
      <c r="F669" s="27">
        <v>2132354.7000000002</v>
      </c>
      <c r="H669" s="27">
        <v>0</v>
      </c>
      <c r="J669" s="27">
        <v>2132354.7000000002</v>
      </c>
      <c r="K669" s="25">
        <f t="shared" si="10"/>
        <v>2132354.7000000002</v>
      </c>
    </row>
    <row r="670" spans="1:11" ht="15.95" customHeight="1" x14ac:dyDescent="0.2">
      <c r="A670" s="26" t="s">
        <v>1148</v>
      </c>
      <c r="B670" s="369" t="s">
        <v>1149</v>
      </c>
      <c r="C670" s="370"/>
      <c r="D670" s="370"/>
      <c r="E670" s="27">
        <v>0</v>
      </c>
      <c r="F670" s="27">
        <v>1327039.3899999999</v>
      </c>
      <c r="H670" s="27">
        <v>0</v>
      </c>
      <c r="J670" s="27">
        <v>1327039.3899999999</v>
      </c>
      <c r="K670" s="25">
        <f t="shared" si="10"/>
        <v>1327039.3899999999</v>
      </c>
    </row>
    <row r="671" spans="1:11" ht="15.95" customHeight="1" x14ac:dyDescent="0.2">
      <c r="A671" s="26">
        <v>3210102</v>
      </c>
      <c r="B671" s="369" t="s">
        <v>1150</v>
      </c>
      <c r="C671" s="370"/>
      <c r="D671" s="370"/>
      <c r="E671" s="27">
        <v>0</v>
      </c>
      <c r="F671" s="27">
        <v>1269321.8</v>
      </c>
      <c r="H671" s="27">
        <v>19.27</v>
      </c>
      <c r="J671" s="27">
        <v>1269302.53</v>
      </c>
      <c r="K671" s="25">
        <f t="shared" si="10"/>
        <v>1269302.53</v>
      </c>
    </row>
    <row r="672" spans="1:11" ht="15.95" customHeight="1" x14ac:dyDescent="0.2">
      <c r="A672" s="26" t="s">
        <v>1151</v>
      </c>
      <c r="B672" s="369" t="s">
        <v>1152</v>
      </c>
      <c r="C672" s="370"/>
      <c r="D672" s="370"/>
      <c r="E672" s="27">
        <v>0</v>
      </c>
      <c r="F672" s="27">
        <v>440552.27</v>
      </c>
      <c r="H672" s="27">
        <v>0</v>
      </c>
      <c r="J672" s="27">
        <v>440552.27</v>
      </c>
      <c r="K672" s="25">
        <f t="shared" si="10"/>
        <v>440552.27</v>
      </c>
    </row>
    <row r="673" spans="1:11" ht="15.95" customHeight="1" x14ac:dyDescent="0.2">
      <c r="A673" s="26" t="s">
        <v>1153</v>
      </c>
      <c r="B673" s="369" t="s">
        <v>1154</v>
      </c>
      <c r="C673" s="370"/>
      <c r="D673" s="370"/>
      <c r="E673" s="27">
        <v>0</v>
      </c>
      <c r="F673" s="27">
        <v>45010.68</v>
      </c>
      <c r="H673" s="27">
        <v>0</v>
      </c>
      <c r="J673" s="27">
        <v>45010.68</v>
      </c>
      <c r="K673" s="25">
        <f t="shared" si="10"/>
        <v>45010.68</v>
      </c>
    </row>
    <row r="674" spans="1:11" ht="15.95" customHeight="1" x14ac:dyDescent="0.2">
      <c r="A674" s="26" t="s">
        <v>1155</v>
      </c>
      <c r="B674" s="369" t="s">
        <v>1156</v>
      </c>
      <c r="C674" s="370"/>
      <c r="D674" s="370"/>
      <c r="E674" s="27">
        <v>0</v>
      </c>
      <c r="F674" s="27">
        <v>425856.78</v>
      </c>
      <c r="H674" s="27">
        <v>0</v>
      </c>
      <c r="J674" s="27">
        <v>425856.78</v>
      </c>
      <c r="K674" s="25">
        <f t="shared" si="10"/>
        <v>425856.78</v>
      </c>
    </row>
    <row r="675" spans="1:11" ht="15.95" customHeight="1" x14ac:dyDescent="0.2">
      <c r="A675" s="26" t="s">
        <v>1157</v>
      </c>
      <c r="B675" s="369" t="s">
        <v>1134</v>
      </c>
      <c r="C675" s="370"/>
      <c r="D675" s="370"/>
      <c r="E675" s="27">
        <v>0</v>
      </c>
      <c r="F675" s="27">
        <v>67275.179999999993</v>
      </c>
      <c r="H675" s="27">
        <v>19.27</v>
      </c>
      <c r="J675" s="27">
        <v>67255.91</v>
      </c>
      <c r="K675" s="25">
        <f t="shared" si="10"/>
        <v>67255.91</v>
      </c>
    </row>
    <row r="676" spans="1:11" ht="15.95" customHeight="1" x14ac:dyDescent="0.2">
      <c r="A676" s="26" t="s">
        <v>1158</v>
      </c>
      <c r="B676" s="369" t="s">
        <v>1136</v>
      </c>
      <c r="C676" s="370"/>
      <c r="D676" s="370"/>
      <c r="E676" s="27">
        <v>0</v>
      </c>
      <c r="F676" s="27">
        <v>254935.89</v>
      </c>
      <c r="H676" s="27">
        <v>0</v>
      </c>
      <c r="J676" s="27">
        <v>254935.89</v>
      </c>
      <c r="K676" s="25">
        <f t="shared" si="10"/>
        <v>254935.89</v>
      </c>
    </row>
    <row r="677" spans="1:11" ht="15.95" customHeight="1" x14ac:dyDescent="0.2">
      <c r="A677" s="26" t="s">
        <v>1623</v>
      </c>
      <c r="B677" s="369" t="s">
        <v>1547</v>
      </c>
      <c r="C677" s="370"/>
      <c r="D677" s="370"/>
      <c r="E677" s="27">
        <v>0</v>
      </c>
      <c r="F677" s="27">
        <v>35691</v>
      </c>
      <c r="H677" s="27">
        <v>0</v>
      </c>
      <c r="J677" s="27">
        <v>35691</v>
      </c>
      <c r="K677" s="25">
        <f t="shared" si="10"/>
        <v>35691</v>
      </c>
    </row>
    <row r="678" spans="1:11" ht="15.95" customHeight="1" x14ac:dyDescent="0.2">
      <c r="A678" s="26">
        <v>4</v>
      </c>
      <c r="B678" s="369" t="s">
        <v>1160</v>
      </c>
      <c r="C678" s="370"/>
      <c r="D678" s="370"/>
      <c r="E678" s="27">
        <v>0</v>
      </c>
      <c r="F678" s="27">
        <v>22987294.079999998</v>
      </c>
      <c r="H678" s="27">
        <v>1878562.15</v>
      </c>
      <c r="J678" s="27">
        <v>21108731.93</v>
      </c>
      <c r="K678" s="25">
        <f t="shared" si="10"/>
        <v>21108731.93</v>
      </c>
    </row>
    <row r="679" spans="1:11" ht="15.95" customHeight="1" x14ac:dyDescent="0.2">
      <c r="A679" s="26">
        <v>41</v>
      </c>
      <c r="B679" s="369" t="s">
        <v>1161</v>
      </c>
      <c r="C679" s="370"/>
      <c r="D679" s="370"/>
      <c r="E679" s="27">
        <v>0</v>
      </c>
      <c r="F679" s="27">
        <v>22987294.079999998</v>
      </c>
      <c r="H679" s="27">
        <v>1878562.15</v>
      </c>
      <c r="J679" s="27">
        <v>21108731.93</v>
      </c>
      <c r="K679" s="25">
        <f t="shared" si="10"/>
        <v>21108731.93</v>
      </c>
    </row>
    <row r="680" spans="1:11" ht="15.95" customHeight="1" x14ac:dyDescent="0.2">
      <c r="A680" s="26">
        <v>411</v>
      </c>
      <c r="B680" s="369" t="s">
        <v>1161</v>
      </c>
      <c r="C680" s="370"/>
      <c r="D680" s="370"/>
      <c r="E680" s="27">
        <v>0</v>
      </c>
      <c r="F680" s="27">
        <v>22987294.079999998</v>
      </c>
      <c r="H680" s="27">
        <v>1878562.15</v>
      </c>
      <c r="J680" s="27">
        <v>21108731.93</v>
      </c>
      <c r="K680" s="25">
        <f t="shared" si="10"/>
        <v>21108731.93</v>
      </c>
    </row>
    <row r="681" spans="1:11" ht="15.95" customHeight="1" x14ac:dyDescent="0.2">
      <c r="A681" s="26">
        <v>41101</v>
      </c>
      <c r="B681" s="369" t="s">
        <v>1161</v>
      </c>
      <c r="C681" s="370"/>
      <c r="D681" s="370"/>
      <c r="E681" s="27">
        <v>0</v>
      </c>
      <c r="F681" s="27">
        <v>22987294.079999998</v>
      </c>
      <c r="H681" s="27">
        <v>1878562.15</v>
      </c>
      <c r="J681" s="27">
        <v>21108731.93</v>
      </c>
      <c r="K681" s="25">
        <f t="shared" si="10"/>
        <v>21108731.93</v>
      </c>
    </row>
    <row r="682" spans="1:11" ht="15.95" customHeight="1" x14ac:dyDescent="0.2">
      <c r="A682" s="26">
        <v>4110101</v>
      </c>
      <c r="B682" s="369" t="s">
        <v>1162</v>
      </c>
      <c r="C682" s="370"/>
      <c r="D682" s="370"/>
      <c r="E682" s="27">
        <v>0</v>
      </c>
      <c r="F682" s="27">
        <v>6832021.8799999999</v>
      </c>
      <c r="H682" s="27">
        <v>638906.67000000004</v>
      </c>
      <c r="J682" s="27">
        <v>6193115.21</v>
      </c>
      <c r="K682" s="25">
        <f t="shared" si="10"/>
        <v>6193115.21</v>
      </c>
    </row>
    <row r="683" spans="1:11" ht="15.95" customHeight="1" x14ac:dyDescent="0.2">
      <c r="A683" s="26" t="s">
        <v>1163</v>
      </c>
      <c r="B683" s="369" t="s">
        <v>1164</v>
      </c>
      <c r="C683" s="370"/>
      <c r="D683" s="370"/>
      <c r="E683" s="27">
        <v>0</v>
      </c>
      <c r="F683" s="27">
        <v>1613906.28</v>
      </c>
      <c r="H683" s="27">
        <v>51553.89</v>
      </c>
      <c r="J683" s="27">
        <v>1562352.39</v>
      </c>
      <c r="K683" s="25">
        <f t="shared" si="10"/>
        <v>1562352.39</v>
      </c>
    </row>
    <row r="684" spans="1:11" ht="15.95" customHeight="1" x14ac:dyDescent="0.2">
      <c r="A684" s="26" t="s">
        <v>1165</v>
      </c>
      <c r="B684" s="369" t="s">
        <v>1166</v>
      </c>
      <c r="C684" s="370"/>
      <c r="D684" s="370"/>
      <c r="E684" s="27">
        <v>0</v>
      </c>
      <c r="F684" s="27">
        <v>716199.97</v>
      </c>
      <c r="H684" s="27">
        <v>342.5</v>
      </c>
      <c r="J684" s="27">
        <v>715857.47</v>
      </c>
      <c r="K684" s="25">
        <f t="shared" si="10"/>
        <v>715857.47</v>
      </c>
    </row>
    <row r="685" spans="1:11" ht="15.95" customHeight="1" x14ac:dyDescent="0.2">
      <c r="A685" s="26" t="s">
        <v>1167</v>
      </c>
      <c r="B685" s="369" t="s">
        <v>1168</v>
      </c>
      <c r="C685" s="370"/>
      <c r="D685" s="370"/>
      <c r="E685" s="27">
        <v>0</v>
      </c>
      <c r="F685" s="27">
        <v>304576.62</v>
      </c>
      <c r="H685" s="27">
        <v>62.46</v>
      </c>
      <c r="J685" s="27">
        <v>304514.15999999997</v>
      </c>
      <c r="K685" s="25">
        <f t="shared" si="10"/>
        <v>304514.15999999997</v>
      </c>
    </row>
    <row r="686" spans="1:11" ht="15.95" customHeight="1" x14ac:dyDescent="0.2">
      <c r="A686" s="26" t="s">
        <v>1169</v>
      </c>
      <c r="B686" s="369" t="s">
        <v>1170</v>
      </c>
      <c r="C686" s="370"/>
      <c r="D686" s="370"/>
      <c r="E686" s="27">
        <v>0</v>
      </c>
      <c r="F686" s="27">
        <v>191580.76</v>
      </c>
      <c r="H686" s="27">
        <v>40.520000000000003</v>
      </c>
      <c r="J686" s="27">
        <v>191540.24</v>
      </c>
      <c r="K686" s="25">
        <f t="shared" si="10"/>
        <v>191540.24</v>
      </c>
    </row>
    <row r="687" spans="1:11" ht="15.95" customHeight="1" x14ac:dyDescent="0.2">
      <c r="A687" s="26" t="s">
        <v>1171</v>
      </c>
      <c r="B687" s="369" t="s">
        <v>1172</v>
      </c>
      <c r="C687" s="370"/>
      <c r="D687" s="370"/>
      <c r="E687" s="27">
        <v>0</v>
      </c>
      <c r="F687" s="27">
        <v>500198.99</v>
      </c>
      <c r="H687" s="27">
        <v>238540.52</v>
      </c>
      <c r="J687" s="27">
        <v>261658.47</v>
      </c>
      <c r="K687" s="25">
        <f t="shared" si="10"/>
        <v>261658.47</v>
      </c>
    </row>
    <row r="688" spans="1:11" ht="15.95" customHeight="1" x14ac:dyDescent="0.2">
      <c r="A688" s="26" t="s">
        <v>1173</v>
      </c>
      <c r="B688" s="369" t="s">
        <v>1174</v>
      </c>
      <c r="C688" s="370"/>
      <c r="D688" s="370"/>
      <c r="E688" s="27">
        <v>0</v>
      </c>
      <c r="F688" s="27">
        <v>287950.31</v>
      </c>
      <c r="H688" s="27">
        <v>11477.06</v>
      </c>
      <c r="J688" s="27">
        <v>276473.25</v>
      </c>
      <c r="K688" s="25">
        <f t="shared" si="10"/>
        <v>276473.25</v>
      </c>
    </row>
    <row r="689" spans="1:11" ht="15.95" customHeight="1" x14ac:dyDescent="0.2">
      <c r="A689" s="26" t="s">
        <v>1175</v>
      </c>
      <c r="B689" s="369" t="s">
        <v>1176</v>
      </c>
      <c r="C689" s="370"/>
      <c r="D689" s="370"/>
      <c r="E689" s="27">
        <v>0</v>
      </c>
      <c r="F689" s="27">
        <v>1206747.02</v>
      </c>
      <c r="H689" s="27">
        <v>56550.35</v>
      </c>
      <c r="J689" s="27">
        <v>1150196.67</v>
      </c>
      <c r="K689" s="25">
        <f t="shared" si="10"/>
        <v>1150196.67</v>
      </c>
    </row>
    <row r="690" spans="1:11" ht="15.95" customHeight="1" x14ac:dyDescent="0.2">
      <c r="A690" s="26" t="s">
        <v>1177</v>
      </c>
      <c r="B690" s="369" t="s">
        <v>1178</v>
      </c>
      <c r="C690" s="370"/>
      <c r="D690" s="370"/>
      <c r="E690" s="27">
        <v>0</v>
      </c>
      <c r="F690" s="27">
        <v>333097.78999999998</v>
      </c>
      <c r="H690" s="27">
        <v>16846.2</v>
      </c>
      <c r="J690" s="27">
        <v>316251.59000000003</v>
      </c>
      <c r="K690" s="25">
        <f t="shared" si="10"/>
        <v>316251.59000000003</v>
      </c>
    </row>
    <row r="691" spans="1:11" ht="15.95" customHeight="1" x14ac:dyDescent="0.2">
      <c r="A691" s="26" t="s">
        <v>1179</v>
      </c>
      <c r="B691" s="369" t="s">
        <v>1180</v>
      </c>
      <c r="C691" s="370"/>
      <c r="D691" s="370"/>
      <c r="E691" s="27">
        <v>0</v>
      </c>
      <c r="F691" s="27">
        <v>318538.13</v>
      </c>
      <c r="H691" s="27">
        <v>71043.63</v>
      </c>
      <c r="J691" s="27">
        <v>247494.5</v>
      </c>
      <c r="K691" s="25">
        <f t="shared" si="10"/>
        <v>247494.5</v>
      </c>
    </row>
    <row r="692" spans="1:11" ht="15.95" customHeight="1" x14ac:dyDescent="0.2">
      <c r="A692" s="26" t="s">
        <v>1181</v>
      </c>
      <c r="B692" s="369" t="s">
        <v>1182</v>
      </c>
      <c r="C692" s="370"/>
      <c r="D692" s="370"/>
      <c r="E692" s="27">
        <v>0</v>
      </c>
      <c r="F692" s="27">
        <v>353734.34</v>
      </c>
      <c r="H692" s="27">
        <v>151926.53</v>
      </c>
      <c r="J692" s="27">
        <v>201807.81</v>
      </c>
      <c r="K692" s="25">
        <f t="shared" si="10"/>
        <v>201807.81</v>
      </c>
    </row>
    <row r="693" spans="1:11" ht="15.95" customHeight="1" x14ac:dyDescent="0.2">
      <c r="A693" s="26" t="s">
        <v>1183</v>
      </c>
      <c r="B693" s="369" t="s">
        <v>1184</v>
      </c>
      <c r="C693" s="370"/>
      <c r="D693" s="370"/>
      <c r="E693" s="27">
        <v>0</v>
      </c>
      <c r="F693" s="27">
        <v>11451.8</v>
      </c>
      <c r="H693" s="27">
        <v>3947.24</v>
      </c>
      <c r="J693" s="27">
        <v>7504.56</v>
      </c>
      <c r="K693" s="25">
        <f t="shared" si="10"/>
        <v>7504.56</v>
      </c>
    </row>
    <row r="694" spans="1:11" ht="15.95" customHeight="1" x14ac:dyDescent="0.2">
      <c r="A694" s="26" t="s">
        <v>1185</v>
      </c>
      <c r="B694" s="369" t="s">
        <v>1186</v>
      </c>
      <c r="C694" s="370"/>
      <c r="D694" s="370"/>
      <c r="E694" s="27">
        <v>0</v>
      </c>
      <c r="F694" s="27">
        <v>356134.94</v>
      </c>
      <c r="H694" s="27">
        <v>17190.12</v>
      </c>
      <c r="J694" s="27">
        <v>338944.82</v>
      </c>
      <c r="K694" s="25">
        <f t="shared" si="10"/>
        <v>338944.82</v>
      </c>
    </row>
    <row r="695" spans="1:11" ht="15.95" customHeight="1" x14ac:dyDescent="0.2">
      <c r="A695" s="26" t="s">
        <v>1187</v>
      </c>
      <c r="B695" s="369" t="s">
        <v>1188</v>
      </c>
      <c r="C695" s="370"/>
      <c r="D695" s="370"/>
      <c r="E695" s="27">
        <v>0</v>
      </c>
      <c r="F695" s="27">
        <v>155988.76</v>
      </c>
      <c r="H695" s="27">
        <v>6160.28</v>
      </c>
      <c r="J695" s="27">
        <v>149828.48000000001</v>
      </c>
      <c r="K695" s="25">
        <f t="shared" si="10"/>
        <v>149828.48000000001</v>
      </c>
    </row>
    <row r="696" spans="1:11" ht="15.95" customHeight="1" x14ac:dyDescent="0.2">
      <c r="A696" s="26" t="s">
        <v>1189</v>
      </c>
      <c r="B696" s="369" t="s">
        <v>1190</v>
      </c>
      <c r="C696" s="370"/>
      <c r="D696" s="370"/>
      <c r="E696" s="27">
        <v>0</v>
      </c>
      <c r="F696" s="27">
        <v>5205.04</v>
      </c>
      <c r="H696" s="27">
        <v>0</v>
      </c>
      <c r="J696" s="27">
        <v>5205.04</v>
      </c>
      <c r="K696" s="25">
        <f t="shared" si="10"/>
        <v>5205.04</v>
      </c>
    </row>
    <row r="697" spans="1:11" ht="15.95" customHeight="1" x14ac:dyDescent="0.2">
      <c r="A697" s="26" t="s">
        <v>1191</v>
      </c>
      <c r="B697" s="369" t="s">
        <v>1192</v>
      </c>
      <c r="C697" s="370"/>
      <c r="D697" s="370"/>
      <c r="E697" s="27">
        <v>0</v>
      </c>
      <c r="F697" s="27">
        <v>6570.62</v>
      </c>
      <c r="H697" s="27">
        <v>0</v>
      </c>
      <c r="J697" s="27">
        <v>6570.62</v>
      </c>
      <c r="K697" s="25">
        <f t="shared" si="10"/>
        <v>6570.62</v>
      </c>
    </row>
    <row r="698" spans="1:11" ht="15.95" customHeight="1" x14ac:dyDescent="0.2">
      <c r="A698" s="26" t="s">
        <v>1193</v>
      </c>
      <c r="B698" s="369" t="s">
        <v>1194</v>
      </c>
      <c r="C698" s="370"/>
      <c r="D698" s="370"/>
      <c r="E698" s="27">
        <v>0</v>
      </c>
      <c r="F698" s="27">
        <v>66475.5</v>
      </c>
      <c r="H698" s="27">
        <v>15.01</v>
      </c>
      <c r="J698" s="27">
        <v>66460.490000000005</v>
      </c>
      <c r="K698" s="25">
        <f t="shared" si="10"/>
        <v>66460.490000000005</v>
      </c>
    </row>
    <row r="699" spans="1:11" ht="15.95" customHeight="1" x14ac:dyDescent="0.2">
      <c r="A699" s="26" t="s">
        <v>1195</v>
      </c>
      <c r="B699" s="369" t="s">
        <v>1196</v>
      </c>
      <c r="C699" s="370"/>
      <c r="D699" s="370"/>
      <c r="E699" s="27">
        <v>0</v>
      </c>
      <c r="F699" s="27">
        <v>9966.4599999999991</v>
      </c>
      <c r="H699" s="27">
        <v>3611.37</v>
      </c>
      <c r="J699" s="27">
        <v>6355.09</v>
      </c>
      <c r="K699" s="25">
        <f t="shared" si="10"/>
        <v>6355.09</v>
      </c>
    </row>
    <row r="700" spans="1:11" ht="15.95" customHeight="1" x14ac:dyDescent="0.2">
      <c r="A700" s="26" t="s">
        <v>1197</v>
      </c>
      <c r="B700" s="369" t="s">
        <v>1198</v>
      </c>
      <c r="C700" s="370"/>
      <c r="D700" s="370"/>
      <c r="E700" s="27">
        <v>0</v>
      </c>
      <c r="F700" s="27">
        <v>255798.35</v>
      </c>
      <c r="H700" s="27">
        <v>9598.99</v>
      </c>
      <c r="J700" s="27">
        <v>246199.36</v>
      </c>
      <c r="K700" s="25">
        <f t="shared" si="10"/>
        <v>246199.36</v>
      </c>
    </row>
    <row r="701" spans="1:11" ht="15.95" customHeight="1" x14ac:dyDescent="0.2">
      <c r="A701" s="26" t="s">
        <v>1199</v>
      </c>
      <c r="B701" s="369" t="s">
        <v>1200</v>
      </c>
      <c r="C701" s="370"/>
      <c r="D701" s="370"/>
      <c r="E701" s="27">
        <v>0</v>
      </c>
      <c r="F701" s="27">
        <v>137900.20000000001</v>
      </c>
      <c r="H701" s="27">
        <v>0</v>
      </c>
      <c r="J701" s="27">
        <v>137900.20000000001</v>
      </c>
      <c r="K701" s="25">
        <f t="shared" si="10"/>
        <v>137900.20000000001</v>
      </c>
    </row>
    <row r="702" spans="1:11" ht="15.95" customHeight="1" x14ac:dyDescent="0.2">
      <c r="A702" s="26">
        <v>4110102</v>
      </c>
      <c r="B702" s="369" t="s">
        <v>1548</v>
      </c>
      <c r="C702" s="370"/>
      <c r="D702" s="370"/>
      <c r="E702" s="27">
        <v>0</v>
      </c>
      <c r="F702" s="27">
        <v>12208</v>
      </c>
      <c r="H702" s="27">
        <v>0</v>
      </c>
      <c r="J702" s="27">
        <v>12208</v>
      </c>
      <c r="K702" s="25">
        <f t="shared" si="10"/>
        <v>12208</v>
      </c>
    </row>
    <row r="703" spans="1:11" ht="27.95" customHeight="1" x14ac:dyDescent="0.2">
      <c r="A703" s="26" t="s">
        <v>1624</v>
      </c>
      <c r="B703" s="369" t="s">
        <v>1203</v>
      </c>
      <c r="C703" s="370"/>
      <c r="D703" s="370"/>
      <c r="E703" s="27">
        <v>0</v>
      </c>
      <c r="F703" s="27">
        <v>12118</v>
      </c>
      <c r="H703" s="27">
        <v>0</v>
      </c>
      <c r="J703" s="27">
        <v>12118</v>
      </c>
      <c r="K703" s="25">
        <f t="shared" si="10"/>
        <v>12118</v>
      </c>
    </row>
    <row r="704" spans="1:11" ht="15.95" customHeight="1" x14ac:dyDescent="0.2">
      <c r="A704" s="26" t="s">
        <v>1549</v>
      </c>
      <c r="B704" s="369" t="s">
        <v>1300</v>
      </c>
      <c r="C704" s="370"/>
      <c r="D704" s="370"/>
      <c r="E704" s="27">
        <v>0</v>
      </c>
      <c r="F704" s="27">
        <v>90</v>
      </c>
      <c r="H704" s="27">
        <v>0</v>
      </c>
      <c r="J704" s="27">
        <v>90</v>
      </c>
      <c r="K704" s="25">
        <f t="shared" si="10"/>
        <v>90</v>
      </c>
    </row>
    <row r="705" spans="1:11" ht="15.95" customHeight="1" x14ac:dyDescent="0.2">
      <c r="A705" s="26">
        <v>4110103</v>
      </c>
      <c r="B705" s="369" t="s">
        <v>1201</v>
      </c>
      <c r="C705" s="370"/>
      <c r="D705" s="370"/>
      <c r="E705" s="27">
        <v>0</v>
      </c>
      <c r="F705" s="27">
        <v>5037084.8600000003</v>
      </c>
      <c r="H705" s="27">
        <v>761272.08</v>
      </c>
      <c r="J705" s="27">
        <v>4275812.78</v>
      </c>
      <c r="K705" s="25">
        <f t="shared" si="10"/>
        <v>4275812.78</v>
      </c>
    </row>
    <row r="706" spans="1:11" ht="15.95" customHeight="1" x14ac:dyDescent="0.2">
      <c r="A706" s="26" t="s">
        <v>1202</v>
      </c>
      <c r="B706" s="369" t="s">
        <v>1203</v>
      </c>
      <c r="C706" s="370"/>
      <c r="D706" s="370"/>
      <c r="E706" s="27">
        <v>0</v>
      </c>
      <c r="F706" s="27">
        <v>8745</v>
      </c>
      <c r="H706" s="27">
        <v>0</v>
      </c>
      <c r="J706" s="27">
        <v>8745</v>
      </c>
      <c r="K706" s="25">
        <f t="shared" si="10"/>
        <v>8745</v>
      </c>
    </row>
    <row r="707" spans="1:11" ht="15.95" customHeight="1" x14ac:dyDescent="0.2">
      <c r="A707" s="26" t="s">
        <v>1204</v>
      </c>
      <c r="B707" s="369" t="s">
        <v>1205</v>
      </c>
      <c r="C707" s="370"/>
      <c r="D707" s="370"/>
      <c r="E707" s="27">
        <v>0</v>
      </c>
      <c r="F707" s="27">
        <v>133159.82</v>
      </c>
      <c r="H707" s="27">
        <v>0</v>
      </c>
      <c r="J707" s="27">
        <v>133159.82</v>
      </c>
      <c r="K707" s="25">
        <f t="shared" ref="K707:K770" si="11">J707-E707</f>
        <v>133159.82</v>
      </c>
    </row>
    <row r="708" spans="1:11" ht="15.95" customHeight="1" x14ac:dyDescent="0.2">
      <c r="A708" s="26" t="s">
        <v>1206</v>
      </c>
      <c r="B708" s="369" t="s">
        <v>1207</v>
      </c>
      <c r="C708" s="370"/>
      <c r="D708" s="370"/>
      <c r="E708" s="27">
        <v>0</v>
      </c>
      <c r="F708" s="27">
        <v>650164.67000000004</v>
      </c>
      <c r="H708" s="27">
        <v>0</v>
      </c>
      <c r="J708" s="27">
        <v>650164.67000000004</v>
      </c>
      <c r="K708" s="25">
        <f t="shared" si="11"/>
        <v>650164.67000000004</v>
      </c>
    </row>
    <row r="709" spans="1:11" ht="15.95" customHeight="1" x14ac:dyDescent="0.2">
      <c r="A709" s="26" t="s">
        <v>1550</v>
      </c>
      <c r="B709" s="369" t="s">
        <v>1551</v>
      </c>
      <c r="C709" s="370"/>
      <c r="D709" s="370"/>
      <c r="E709" s="27">
        <v>0</v>
      </c>
      <c r="F709" s="27">
        <v>441.79</v>
      </c>
      <c r="H709" s="27">
        <v>0</v>
      </c>
      <c r="J709" s="27">
        <v>441.79</v>
      </c>
      <c r="K709" s="25">
        <f t="shared" si="11"/>
        <v>441.79</v>
      </c>
    </row>
    <row r="710" spans="1:11" ht="15.95" customHeight="1" x14ac:dyDescent="0.2">
      <c r="A710" s="26" t="s">
        <v>1208</v>
      </c>
      <c r="B710" s="369" t="s">
        <v>1209</v>
      </c>
      <c r="C710" s="370"/>
      <c r="D710" s="370"/>
      <c r="E710" s="27">
        <v>0</v>
      </c>
      <c r="F710" s="27">
        <v>1335986.6200000001</v>
      </c>
      <c r="H710" s="27">
        <v>9500</v>
      </c>
      <c r="J710" s="27">
        <v>1326486.6200000001</v>
      </c>
      <c r="K710" s="25">
        <f t="shared" si="11"/>
        <v>1326486.6200000001</v>
      </c>
    </row>
    <row r="711" spans="1:11" ht="15.95" customHeight="1" x14ac:dyDescent="0.2">
      <c r="A711" s="26" t="s">
        <v>1552</v>
      </c>
      <c r="B711" s="369" t="s">
        <v>1306</v>
      </c>
      <c r="C711" s="370"/>
      <c r="D711" s="370"/>
      <c r="E711" s="27">
        <v>0</v>
      </c>
      <c r="F711" s="27">
        <v>743834.87</v>
      </c>
      <c r="H711" s="27">
        <v>743834.87</v>
      </c>
      <c r="J711" s="27">
        <v>0</v>
      </c>
      <c r="K711" s="25">
        <f t="shared" si="11"/>
        <v>0</v>
      </c>
    </row>
    <row r="712" spans="1:11" ht="15.95" customHeight="1" x14ac:dyDescent="0.2">
      <c r="A712" s="26" t="s">
        <v>1553</v>
      </c>
      <c r="B712" s="369" t="s">
        <v>1554</v>
      </c>
      <c r="C712" s="370"/>
      <c r="D712" s="370"/>
      <c r="E712" s="27">
        <v>0</v>
      </c>
      <c r="F712" s="27">
        <v>89400</v>
      </c>
      <c r="H712" s="27">
        <v>0</v>
      </c>
      <c r="J712" s="27">
        <v>89400</v>
      </c>
      <c r="K712" s="25">
        <f t="shared" si="11"/>
        <v>89400</v>
      </c>
    </row>
    <row r="713" spans="1:11" ht="15.95" customHeight="1" x14ac:dyDescent="0.2">
      <c r="A713" s="26" t="s">
        <v>1214</v>
      </c>
      <c r="B713" s="369" t="s">
        <v>1215</v>
      </c>
      <c r="C713" s="370"/>
      <c r="D713" s="370"/>
      <c r="E713" s="27">
        <v>0</v>
      </c>
      <c r="F713" s="27">
        <v>36562.11</v>
      </c>
      <c r="H713" s="27">
        <v>7937.21</v>
      </c>
      <c r="J713" s="27">
        <v>28624.9</v>
      </c>
      <c r="K713" s="25">
        <f t="shared" si="11"/>
        <v>28624.9</v>
      </c>
    </row>
    <row r="714" spans="1:11" ht="15.95" customHeight="1" x14ac:dyDescent="0.2">
      <c r="A714" s="26" t="s">
        <v>1216</v>
      </c>
      <c r="B714" s="369" t="s">
        <v>1217</v>
      </c>
      <c r="C714" s="370"/>
      <c r="D714" s="370"/>
      <c r="E714" s="27">
        <v>0</v>
      </c>
      <c r="F714" s="27">
        <v>448500</v>
      </c>
      <c r="H714" s="27">
        <v>0</v>
      </c>
      <c r="J714" s="27">
        <v>448500</v>
      </c>
      <c r="K714" s="25">
        <f t="shared" si="11"/>
        <v>448500</v>
      </c>
    </row>
    <row r="715" spans="1:11" ht="15.95" customHeight="1" x14ac:dyDescent="0.2">
      <c r="A715" s="26" t="s">
        <v>1218</v>
      </c>
      <c r="B715" s="369" t="s">
        <v>1219</v>
      </c>
      <c r="C715" s="370"/>
      <c r="D715" s="370"/>
      <c r="E715" s="27">
        <v>0</v>
      </c>
      <c r="F715" s="27">
        <v>1214941.98</v>
      </c>
      <c r="H715" s="27">
        <v>0</v>
      </c>
      <c r="J715" s="27">
        <v>1214941.98</v>
      </c>
      <c r="K715" s="25">
        <f t="shared" si="11"/>
        <v>1214941.98</v>
      </c>
    </row>
    <row r="716" spans="1:11" ht="15.95" customHeight="1" x14ac:dyDescent="0.2">
      <c r="A716" s="26" t="s">
        <v>1220</v>
      </c>
      <c r="B716" s="369" t="s">
        <v>1221</v>
      </c>
      <c r="C716" s="370"/>
      <c r="D716" s="370"/>
      <c r="E716" s="27">
        <v>0</v>
      </c>
      <c r="F716" s="27">
        <v>375348</v>
      </c>
      <c r="H716" s="27">
        <v>0</v>
      </c>
      <c r="J716" s="27">
        <v>375348</v>
      </c>
      <c r="K716" s="25">
        <f t="shared" si="11"/>
        <v>375348</v>
      </c>
    </row>
    <row r="717" spans="1:11" ht="15.95" customHeight="1" x14ac:dyDescent="0.2">
      <c r="A717" s="26">
        <v>4110104</v>
      </c>
      <c r="B717" s="369" t="s">
        <v>1222</v>
      </c>
      <c r="C717" s="370"/>
      <c r="D717" s="370"/>
      <c r="E717" s="27">
        <v>0</v>
      </c>
      <c r="F717" s="27">
        <v>17139.21</v>
      </c>
      <c r="H717" s="27">
        <v>0</v>
      </c>
      <c r="J717" s="27">
        <v>17139.21</v>
      </c>
      <c r="K717" s="25">
        <f t="shared" si="11"/>
        <v>17139.21</v>
      </c>
    </row>
    <row r="718" spans="1:11" ht="15.95" customHeight="1" x14ac:dyDescent="0.2">
      <c r="A718" s="26" t="s">
        <v>1555</v>
      </c>
      <c r="B718" s="369" t="s">
        <v>188</v>
      </c>
      <c r="C718" s="370"/>
      <c r="D718" s="370"/>
      <c r="E718" s="27">
        <v>0</v>
      </c>
      <c r="F718" s="27">
        <v>636.54</v>
      </c>
      <c r="H718" s="27">
        <v>0</v>
      </c>
      <c r="J718" s="27">
        <v>636.54</v>
      </c>
      <c r="K718" s="25">
        <f t="shared" si="11"/>
        <v>636.54</v>
      </c>
    </row>
    <row r="719" spans="1:11" ht="15.95" customHeight="1" x14ac:dyDescent="0.2">
      <c r="A719" s="26" t="s">
        <v>1225</v>
      </c>
      <c r="B719" s="369" t="s">
        <v>182</v>
      </c>
      <c r="C719" s="370"/>
      <c r="D719" s="370"/>
      <c r="E719" s="27">
        <v>0</v>
      </c>
      <c r="F719" s="27">
        <v>2746.15</v>
      </c>
      <c r="H719" s="27">
        <v>0</v>
      </c>
      <c r="J719" s="27">
        <v>2746.15</v>
      </c>
      <c r="K719" s="25">
        <f t="shared" si="11"/>
        <v>2746.15</v>
      </c>
    </row>
    <row r="720" spans="1:11" ht="15.95" customHeight="1" x14ac:dyDescent="0.2">
      <c r="A720" s="26" t="s">
        <v>1228</v>
      </c>
      <c r="B720" s="369" t="s">
        <v>194</v>
      </c>
      <c r="C720" s="370"/>
      <c r="D720" s="370"/>
      <c r="E720" s="27">
        <v>0</v>
      </c>
      <c r="F720" s="27">
        <v>9903.84</v>
      </c>
      <c r="H720" s="27">
        <v>0</v>
      </c>
      <c r="J720" s="27">
        <v>9903.84</v>
      </c>
      <c r="K720" s="25">
        <f t="shared" si="11"/>
        <v>9903.84</v>
      </c>
    </row>
    <row r="721" spans="1:11" ht="15.95" customHeight="1" x14ac:dyDescent="0.2">
      <c r="A721" s="26" t="s">
        <v>1229</v>
      </c>
      <c r="B721" s="369" t="s">
        <v>1230</v>
      </c>
      <c r="C721" s="370"/>
      <c r="D721" s="370"/>
      <c r="E721" s="27">
        <v>0</v>
      </c>
      <c r="F721" s="27">
        <v>582</v>
      </c>
      <c r="H721" s="27">
        <v>0</v>
      </c>
      <c r="J721" s="27">
        <v>582</v>
      </c>
      <c r="K721" s="25">
        <f t="shared" si="11"/>
        <v>582</v>
      </c>
    </row>
    <row r="722" spans="1:11" ht="15.95" customHeight="1" x14ac:dyDescent="0.2">
      <c r="A722" s="26" t="s">
        <v>1233</v>
      </c>
      <c r="B722" s="369" t="s">
        <v>1234</v>
      </c>
      <c r="C722" s="370"/>
      <c r="D722" s="370"/>
      <c r="E722" s="27">
        <v>0</v>
      </c>
      <c r="F722" s="27">
        <v>2540.69</v>
      </c>
      <c r="H722" s="27">
        <v>0</v>
      </c>
      <c r="J722" s="27">
        <v>2540.69</v>
      </c>
      <c r="K722" s="25">
        <f t="shared" si="11"/>
        <v>2540.69</v>
      </c>
    </row>
    <row r="723" spans="1:11" ht="15.95" customHeight="1" x14ac:dyDescent="0.2">
      <c r="A723" s="26" t="s">
        <v>1235</v>
      </c>
      <c r="B723" s="369" t="s">
        <v>1236</v>
      </c>
      <c r="C723" s="370"/>
      <c r="D723" s="370"/>
      <c r="E723" s="27">
        <v>0</v>
      </c>
      <c r="F723" s="27">
        <v>729.99</v>
      </c>
      <c r="H723" s="27">
        <v>0</v>
      </c>
      <c r="J723" s="27">
        <v>729.99</v>
      </c>
      <c r="K723" s="25">
        <f t="shared" si="11"/>
        <v>729.99</v>
      </c>
    </row>
    <row r="724" spans="1:11" ht="15.95" customHeight="1" x14ac:dyDescent="0.2">
      <c r="A724" s="26">
        <v>4110105</v>
      </c>
      <c r="B724" s="369" t="s">
        <v>1237</v>
      </c>
      <c r="C724" s="370"/>
      <c r="D724" s="370"/>
      <c r="E724" s="27">
        <v>0</v>
      </c>
      <c r="F724" s="27">
        <v>11088840.130000001</v>
      </c>
      <c r="H724" s="27">
        <v>478383.4</v>
      </c>
      <c r="J724" s="27">
        <v>10610456.73</v>
      </c>
      <c r="K724" s="25">
        <f t="shared" si="11"/>
        <v>10610456.73</v>
      </c>
    </row>
    <row r="725" spans="1:11" ht="15.95" customHeight="1" x14ac:dyDescent="0.2">
      <c r="A725" s="26" t="s">
        <v>1238</v>
      </c>
      <c r="B725" s="369" t="s">
        <v>1239</v>
      </c>
      <c r="C725" s="370"/>
      <c r="D725" s="370"/>
      <c r="E725" s="27">
        <v>0</v>
      </c>
      <c r="F725" s="27">
        <v>184751.07</v>
      </c>
      <c r="H725" s="27">
        <v>0</v>
      </c>
      <c r="J725" s="27">
        <v>184751.07</v>
      </c>
      <c r="K725" s="25">
        <f t="shared" si="11"/>
        <v>184751.07</v>
      </c>
    </row>
    <row r="726" spans="1:11" ht="15.95" customHeight="1" x14ac:dyDescent="0.2">
      <c r="A726" s="26" t="s">
        <v>1240</v>
      </c>
      <c r="B726" s="369" t="s">
        <v>1241</v>
      </c>
      <c r="C726" s="370"/>
      <c r="D726" s="370"/>
      <c r="E726" s="27">
        <v>0</v>
      </c>
      <c r="F726" s="27">
        <v>2023707.45</v>
      </c>
      <c r="H726" s="27">
        <v>93144.7</v>
      </c>
      <c r="J726" s="27">
        <v>1930562.75</v>
      </c>
      <c r="K726" s="25">
        <f t="shared" si="11"/>
        <v>1930562.75</v>
      </c>
    </row>
    <row r="727" spans="1:11" ht="15.95" customHeight="1" x14ac:dyDescent="0.2">
      <c r="A727" s="26" t="s">
        <v>1242</v>
      </c>
      <c r="B727" s="369" t="s">
        <v>1243</v>
      </c>
      <c r="C727" s="370"/>
      <c r="D727" s="370"/>
      <c r="E727" s="27">
        <v>0</v>
      </c>
      <c r="F727" s="27">
        <v>126000</v>
      </c>
      <c r="H727" s="27">
        <v>0</v>
      </c>
      <c r="J727" s="27">
        <v>126000</v>
      </c>
      <c r="K727" s="25">
        <f t="shared" si="11"/>
        <v>126000</v>
      </c>
    </row>
    <row r="728" spans="1:11" ht="15.95" customHeight="1" x14ac:dyDescent="0.2">
      <c r="A728" s="26" t="s">
        <v>1244</v>
      </c>
      <c r="B728" s="369" t="s">
        <v>1245</v>
      </c>
      <c r="C728" s="370"/>
      <c r="D728" s="370"/>
      <c r="E728" s="27">
        <v>0</v>
      </c>
      <c r="F728" s="27">
        <v>57000</v>
      </c>
      <c r="H728" s="27">
        <v>0</v>
      </c>
      <c r="J728" s="27">
        <v>57000</v>
      </c>
      <c r="K728" s="25">
        <f t="shared" si="11"/>
        <v>57000</v>
      </c>
    </row>
    <row r="729" spans="1:11" ht="15.95" customHeight="1" x14ac:dyDescent="0.2">
      <c r="A729" s="28" t="s">
        <v>1556</v>
      </c>
      <c r="B729" s="371" t="s">
        <v>1557</v>
      </c>
      <c r="C729" s="372"/>
      <c r="D729" s="372"/>
      <c r="E729" s="29">
        <v>0</v>
      </c>
      <c r="F729" s="29">
        <v>2741051.98</v>
      </c>
      <c r="G729" s="30"/>
      <c r="H729" s="29">
        <v>0</v>
      </c>
      <c r="I729" s="30"/>
      <c r="J729" s="29">
        <v>2741051.98</v>
      </c>
      <c r="K729" s="31">
        <f t="shared" si="11"/>
        <v>2741051.98</v>
      </c>
    </row>
    <row r="730" spans="1:11" ht="15.95" customHeight="1" x14ac:dyDescent="0.2">
      <c r="A730" s="28" t="s">
        <v>1246</v>
      </c>
      <c r="B730" s="371" t="s">
        <v>1247</v>
      </c>
      <c r="C730" s="372"/>
      <c r="D730" s="372"/>
      <c r="E730" s="29">
        <v>0</v>
      </c>
      <c r="F730" s="29">
        <v>0</v>
      </c>
      <c r="G730" s="30"/>
      <c r="H730" s="29">
        <v>385238.7</v>
      </c>
      <c r="I730" s="30"/>
      <c r="J730" s="29">
        <v>-385238.7</v>
      </c>
      <c r="K730" s="31">
        <f t="shared" si="11"/>
        <v>-385238.7</v>
      </c>
    </row>
    <row r="731" spans="1:11" ht="15.95" customHeight="1" x14ac:dyDescent="0.2">
      <c r="A731" s="28" t="s">
        <v>1248</v>
      </c>
      <c r="B731" s="371" t="s">
        <v>1249</v>
      </c>
      <c r="C731" s="372"/>
      <c r="D731" s="372"/>
      <c r="E731" s="29">
        <v>0</v>
      </c>
      <c r="F731" s="29">
        <v>5956329.6299999999</v>
      </c>
      <c r="G731" s="30"/>
      <c r="H731" s="29">
        <v>0</v>
      </c>
      <c r="I731" s="30"/>
      <c r="J731" s="29">
        <v>5956329.6299999999</v>
      </c>
      <c r="K731" s="31">
        <f t="shared" si="11"/>
        <v>5956329.6299999999</v>
      </c>
    </row>
    <row r="732" spans="1:11" ht="15.95" customHeight="1" x14ac:dyDescent="0.2">
      <c r="A732" s="26">
        <v>5</v>
      </c>
      <c r="B732" s="369" t="s">
        <v>1250</v>
      </c>
      <c r="C732" s="370"/>
      <c r="D732" s="370"/>
      <c r="E732" s="27">
        <v>0</v>
      </c>
      <c r="F732" s="27">
        <v>17537581.620000001</v>
      </c>
      <c r="H732" s="27">
        <v>796670.12</v>
      </c>
      <c r="J732" s="27">
        <v>16740911.5</v>
      </c>
      <c r="K732" s="25">
        <f t="shared" si="11"/>
        <v>16740911.5</v>
      </c>
    </row>
    <row r="733" spans="1:11" ht="15.95" customHeight="1" x14ac:dyDescent="0.2">
      <c r="A733" s="26">
        <v>51</v>
      </c>
      <c r="B733" s="369" t="s">
        <v>1250</v>
      </c>
      <c r="C733" s="370"/>
      <c r="D733" s="370"/>
      <c r="E733" s="27">
        <v>0</v>
      </c>
      <c r="F733" s="27">
        <v>15587996.18</v>
      </c>
      <c r="H733" s="27">
        <v>523060.66</v>
      </c>
      <c r="J733" s="27">
        <v>15064935.52</v>
      </c>
      <c r="K733" s="25">
        <f t="shared" si="11"/>
        <v>15064935.52</v>
      </c>
    </row>
    <row r="734" spans="1:11" ht="15.95" customHeight="1" x14ac:dyDescent="0.2">
      <c r="A734" s="26">
        <v>511</v>
      </c>
      <c r="B734" s="369" t="s">
        <v>1251</v>
      </c>
      <c r="C734" s="370"/>
      <c r="D734" s="370"/>
      <c r="E734" s="27">
        <v>0</v>
      </c>
      <c r="F734" s="27">
        <v>15587996.18</v>
      </c>
      <c r="H734" s="27">
        <v>523060.66</v>
      </c>
      <c r="J734" s="27">
        <v>15064935.52</v>
      </c>
      <c r="K734" s="25">
        <f t="shared" si="11"/>
        <v>15064935.52</v>
      </c>
    </row>
    <row r="735" spans="1:11" ht="15.95" customHeight="1" x14ac:dyDescent="0.2">
      <c r="A735" s="26">
        <v>51101</v>
      </c>
      <c r="B735" s="369" t="s">
        <v>1251</v>
      </c>
      <c r="C735" s="370"/>
      <c r="D735" s="370"/>
      <c r="E735" s="27">
        <v>0</v>
      </c>
      <c r="F735" s="27">
        <v>15587996.18</v>
      </c>
      <c r="H735" s="27">
        <v>523060.66</v>
      </c>
      <c r="J735" s="27">
        <v>15064935.52</v>
      </c>
      <c r="K735" s="25">
        <f t="shared" si="11"/>
        <v>15064935.52</v>
      </c>
    </row>
    <row r="736" spans="1:11" ht="15.95" customHeight="1" x14ac:dyDescent="0.2">
      <c r="A736" s="26">
        <v>5110101</v>
      </c>
      <c r="B736" s="369" t="s">
        <v>1252</v>
      </c>
      <c r="C736" s="370"/>
      <c r="D736" s="370"/>
      <c r="E736" s="27">
        <v>0</v>
      </c>
      <c r="F736" s="27">
        <v>7888499.1100000003</v>
      </c>
      <c r="H736" s="27">
        <v>504196.35</v>
      </c>
      <c r="J736" s="27">
        <v>7384302.7599999998</v>
      </c>
      <c r="K736" s="25">
        <f t="shared" si="11"/>
        <v>7384302.7599999998</v>
      </c>
    </row>
    <row r="737" spans="1:11" ht="15.95" customHeight="1" x14ac:dyDescent="0.2">
      <c r="A737" s="26" t="s">
        <v>1253</v>
      </c>
      <c r="B737" s="369" t="s">
        <v>1164</v>
      </c>
      <c r="C737" s="370"/>
      <c r="D737" s="370"/>
      <c r="E737" s="27">
        <v>0</v>
      </c>
      <c r="F737" s="27">
        <v>2380150.9900000002</v>
      </c>
      <c r="H737" s="27">
        <v>48442.73</v>
      </c>
      <c r="J737" s="27">
        <v>2331708.2599999998</v>
      </c>
      <c r="K737" s="25">
        <f t="shared" si="11"/>
        <v>2331708.2599999998</v>
      </c>
    </row>
    <row r="738" spans="1:11" ht="15.95" customHeight="1" x14ac:dyDescent="0.2">
      <c r="A738" s="26" t="s">
        <v>1254</v>
      </c>
      <c r="B738" s="369" t="s">
        <v>1166</v>
      </c>
      <c r="C738" s="370"/>
      <c r="D738" s="370"/>
      <c r="E738" s="27">
        <v>0</v>
      </c>
      <c r="F738" s="27">
        <v>812009.68</v>
      </c>
      <c r="H738" s="27">
        <v>665.03</v>
      </c>
      <c r="J738" s="27">
        <v>811344.65</v>
      </c>
      <c r="K738" s="25">
        <f t="shared" si="11"/>
        <v>811344.65</v>
      </c>
    </row>
    <row r="739" spans="1:11" ht="15.95" customHeight="1" x14ac:dyDescent="0.2">
      <c r="A739" s="26" t="s">
        <v>1255</v>
      </c>
      <c r="B739" s="369" t="s">
        <v>1186</v>
      </c>
      <c r="C739" s="370"/>
      <c r="D739" s="370"/>
      <c r="E739" s="27">
        <v>0</v>
      </c>
      <c r="F739" s="27">
        <v>199617.49</v>
      </c>
      <c r="H739" s="27">
        <v>13530.33</v>
      </c>
      <c r="J739" s="27">
        <v>186087.16</v>
      </c>
      <c r="K739" s="25">
        <f t="shared" si="11"/>
        <v>186087.16</v>
      </c>
    </row>
    <row r="740" spans="1:11" ht="15.95" customHeight="1" x14ac:dyDescent="0.2">
      <c r="A740" s="26" t="s">
        <v>1258</v>
      </c>
      <c r="B740" s="369" t="s">
        <v>1176</v>
      </c>
      <c r="C740" s="370"/>
      <c r="D740" s="370"/>
      <c r="E740" s="27">
        <v>0</v>
      </c>
      <c r="F740" s="27">
        <v>1330590.23</v>
      </c>
      <c r="H740" s="27">
        <v>52486.96</v>
      </c>
      <c r="J740" s="27">
        <v>1278103.27</v>
      </c>
      <c r="K740" s="25">
        <f t="shared" si="11"/>
        <v>1278103.27</v>
      </c>
    </row>
    <row r="741" spans="1:11" ht="15.95" customHeight="1" x14ac:dyDescent="0.2">
      <c r="A741" s="26" t="s">
        <v>1259</v>
      </c>
      <c r="B741" s="369" t="s">
        <v>1178</v>
      </c>
      <c r="C741" s="370"/>
      <c r="D741" s="370"/>
      <c r="E741" s="27">
        <v>0</v>
      </c>
      <c r="F741" s="27">
        <v>378634</v>
      </c>
      <c r="H741" s="27">
        <v>15689.48</v>
      </c>
      <c r="J741" s="27">
        <v>362944.52</v>
      </c>
      <c r="K741" s="25">
        <f t="shared" si="11"/>
        <v>362944.52</v>
      </c>
    </row>
    <row r="742" spans="1:11" ht="15.95" customHeight="1" x14ac:dyDescent="0.2">
      <c r="A742" s="26" t="s">
        <v>1260</v>
      </c>
      <c r="B742" s="369" t="s">
        <v>1261</v>
      </c>
      <c r="C742" s="370"/>
      <c r="D742" s="370"/>
      <c r="E742" s="27">
        <v>0</v>
      </c>
      <c r="F742" s="27">
        <v>332528.25</v>
      </c>
      <c r="H742" s="27">
        <v>12773.4</v>
      </c>
      <c r="J742" s="27">
        <v>319754.84999999998</v>
      </c>
      <c r="K742" s="25">
        <f t="shared" si="11"/>
        <v>319754.84999999998</v>
      </c>
    </row>
    <row r="743" spans="1:11" ht="15.95" customHeight="1" x14ac:dyDescent="0.2">
      <c r="A743" s="26" t="s">
        <v>1262</v>
      </c>
      <c r="B743" s="369" t="s">
        <v>1263</v>
      </c>
      <c r="C743" s="370"/>
      <c r="D743" s="370"/>
      <c r="E743" s="27">
        <v>0</v>
      </c>
      <c r="F743" s="27">
        <v>534417.43000000005</v>
      </c>
      <c r="H743" s="27">
        <v>231316.58</v>
      </c>
      <c r="J743" s="27">
        <v>303100.84999999998</v>
      </c>
      <c r="K743" s="25">
        <f t="shared" si="11"/>
        <v>303100.84999999998</v>
      </c>
    </row>
    <row r="744" spans="1:11" ht="15.95" customHeight="1" x14ac:dyDescent="0.2">
      <c r="A744" s="26" t="s">
        <v>1264</v>
      </c>
      <c r="B744" s="369" t="s">
        <v>1184</v>
      </c>
      <c r="C744" s="370"/>
      <c r="D744" s="370"/>
      <c r="E744" s="27">
        <v>0</v>
      </c>
      <c r="F744" s="27">
        <v>57</v>
      </c>
      <c r="H744" s="27">
        <v>57</v>
      </c>
      <c r="J744" s="27">
        <v>0</v>
      </c>
      <c r="K744" s="25">
        <f t="shared" si="11"/>
        <v>0</v>
      </c>
    </row>
    <row r="745" spans="1:11" ht="15.95" customHeight="1" x14ac:dyDescent="0.2">
      <c r="A745" s="26" t="s">
        <v>1265</v>
      </c>
      <c r="B745" s="369" t="s">
        <v>1266</v>
      </c>
      <c r="C745" s="370"/>
      <c r="D745" s="370"/>
      <c r="E745" s="27">
        <v>0</v>
      </c>
      <c r="F745" s="27">
        <v>635899.75</v>
      </c>
      <c r="H745" s="27">
        <v>91454.97</v>
      </c>
      <c r="J745" s="27">
        <v>544444.78</v>
      </c>
      <c r="K745" s="25">
        <f t="shared" si="11"/>
        <v>544444.78</v>
      </c>
    </row>
    <row r="746" spans="1:11" ht="15.95" customHeight="1" x14ac:dyDescent="0.2">
      <c r="A746" s="26" t="s">
        <v>1267</v>
      </c>
      <c r="B746" s="369" t="s">
        <v>1198</v>
      </c>
      <c r="C746" s="370"/>
      <c r="D746" s="370"/>
      <c r="E746" s="27">
        <v>0</v>
      </c>
      <c r="F746" s="27">
        <v>384278.12</v>
      </c>
      <c r="H746" s="27">
        <v>15264.01</v>
      </c>
      <c r="J746" s="27">
        <v>369014.11</v>
      </c>
      <c r="K746" s="25">
        <f t="shared" si="11"/>
        <v>369014.11</v>
      </c>
    </row>
    <row r="747" spans="1:11" ht="15.95" customHeight="1" x14ac:dyDescent="0.2">
      <c r="A747" s="26" t="s">
        <v>1268</v>
      </c>
      <c r="B747" s="369" t="s">
        <v>1269</v>
      </c>
      <c r="C747" s="370"/>
      <c r="D747" s="370"/>
      <c r="E747" s="27">
        <v>0</v>
      </c>
      <c r="F747" s="27">
        <v>142782.79</v>
      </c>
      <c r="H747" s="27">
        <v>0</v>
      </c>
      <c r="J747" s="27">
        <v>142782.79</v>
      </c>
      <c r="K747" s="25">
        <f t="shared" si="11"/>
        <v>142782.79</v>
      </c>
    </row>
    <row r="748" spans="1:11" ht="15.95" customHeight="1" x14ac:dyDescent="0.2">
      <c r="A748" s="26" t="s">
        <v>1270</v>
      </c>
      <c r="B748" s="369" t="s">
        <v>658</v>
      </c>
      <c r="C748" s="370"/>
      <c r="D748" s="370"/>
      <c r="E748" s="27">
        <v>0</v>
      </c>
      <c r="F748" s="27">
        <v>4340.82</v>
      </c>
      <c r="H748" s="27">
        <v>0</v>
      </c>
      <c r="J748" s="27">
        <v>4340.82</v>
      </c>
      <c r="K748" s="25">
        <f t="shared" si="11"/>
        <v>4340.82</v>
      </c>
    </row>
    <row r="749" spans="1:11" ht="15.95" customHeight="1" x14ac:dyDescent="0.2">
      <c r="A749" s="26" t="s">
        <v>1271</v>
      </c>
      <c r="B749" s="369" t="s">
        <v>1272</v>
      </c>
      <c r="C749" s="370"/>
      <c r="D749" s="370"/>
      <c r="E749" s="27">
        <v>0</v>
      </c>
      <c r="F749" s="27">
        <v>4520.8900000000003</v>
      </c>
      <c r="H749" s="27">
        <v>0</v>
      </c>
      <c r="J749" s="27">
        <v>4520.8900000000003</v>
      </c>
      <c r="K749" s="25">
        <f t="shared" si="11"/>
        <v>4520.8900000000003</v>
      </c>
    </row>
    <row r="750" spans="1:11" ht="15.95" customHeight="1" x14ac:dyDescent="0.2">
      <c r="A750" s="26" t="s">
        <v>1273</v>
      </c>
      <c r="B750" s="369" t="s">
        <v>1274</v>
      </c>
      <c r="C750" s="370"/>
      <c r="D750" s="370"/>
      <c r="E750" s="27">
        <v>0</v>
      </c>
      <c r="F750" s="27">
        <v>44304.72</v>
      </c>
      <c r="H750" s="27">
        <v>11098.87</v>
      </c>
      <c r="J750" s="27">
        <v>33205.85</v>
      </c>
      <c r="K750" s="25">
        <f t="shared" si="11"/>
        <v>33205.85</v>
      </c>
    </row>
    <row r="751" spans="1:11" ht="15.95" customHeight="1" x14ac:dyDescent="0.2">
      <c r="A751" s="26" t="s">
        <v>1275</v>
      </c>
      <c r="B751" s="369" t="s">
        <v>1188</v>
      </c>
      <c r="C751" s="370"/>
      <c r="D751" s="370"/>
      <c r="E751" s="27">
        <v>0</v>
      </c>
      <c r="F751" s="27">
        <v>87979.53</v>
      </c>
      <c r="H751" s="27">
        <v>0</v>
      </c>
      <c r="J751" s="27">
        <v>87979.53</v>
      </c>
      <c r="K751" s="25">
        <f t="shared" si="11"/>
        <v>87979.53</v>
      </c>
    </row>
    <row r="752" spans="1:11" ht="15.95" customHeight="1" x14ac:dyDescent="0.2">
      <c r="A752" s="26" t="s">
        <v>1276</v>
      </c>
      <c r="B752" s="369" t="s">
        <v>1180</v>
      </c>
      <c r="C752" s="370"/>
      <c r="D752" s="370"/>
      <c r="E752" s="27">
        <v>0</v>
      </c>
      <c r="F752" s="27">
        <v>22865.19</v>
      </c>
      <c r="H752" s="27">
        <v>7223.92</v>
      </c>
      <c r="J752" s="27">
        <v>15641.27</v>
      </c>
      <c r="K752" s="25">
        <f t="shared" si="11"/>
        <v>15641.27</v>
      </c>
    </row>
    <row r="753" spans="1:11" ht="15.95" customHeight="1" x14ac:dyDescent="0.2">
      <c r="A753" s="26" t="s">
        <v>1277</v>
      </c>
      <c r="B753" s="369" t="s">
        <v>1190</v>
      </c>
      <c r="C753" s="370"/>
      <c r="D753" s="370"/>
      <c r="E753" s="27">
        <v>0</v>
      </c>
      <c r="F753" s="27">
        <v>122578.9</v>
      </c>
      <c r="H753" s="27">
        <v>0</v>
      </c>
      <c r="J753" s="27">
        <v>122578.9</v>
      </c>
      <c r="K753" s="25">
        <f t="shared" si="11"/>
        <v>122578.9</v>
      </c>
    </row>
    <row r="754" spans="1:11" ht="15.95" customHeight="1" x14ac:dyDescent="0.2">
      <c r="A754" s="26" t="s">
        <v>1278</v>
      </c>
      <c r="B754" s="369" t="s">
        <v>1279</v>
      </c>
      <c r="C754" s="370"/>
      <c r="D754" s="370"/>
      <c r="E754" s="27">
        <v>0</v>
      </c>
      <c r="F754" s="27">
        <v>6351.25</v>
      </c>
      <c r="H754" s="27">
        <v>1477</v>
      </c>
      <c r="J754" s="27">
        <v>4874.25</v>
      </c>
      <c r="K754" s="25">
        <f t="shared" si="11"/>
        <v>4874.25</v>
      </c>
    </row>
    <row r="755" spans="1:11" ht="15.95" customHeight="1" x14ac:dyDescent="0.2">
      <c r="A755" s="26" t="s">
        <v>1280</v>
      </c>
      <c r="B755" s="369" t="s">
        <v>1192</v>
      </c>
      <c r="C755" s="370"/>
      <c r="D755" s="370"/>
      <c r="E755" s="27">
        <v>0</v>
      </c>
      <c r="F755" s="27">
        <v>25571.83</v>
      </c>
      <c r="H755" s="27">
        <v>0</v>
      </c>
      <c r="J755" s="27">
        <v>25571.83</v>
      </c>
      <c r="K755" s="25">
        <f t="shared" si="11"/>
        <v>25571.83</v>
      </c>
    </row>
    <row r="756" spans="1:11" ht="15.95" customHeight="1" x14ac:dyDescent="0.2">
      <c r="A756" s="26" t="s">
        <v>1281</v>
      </c>
      <c r="B756" s="369" t="s">
        <v>1200</v>
      </c>
      <c r="C756" s="370"/>
      <c r="D756" s="370"/>
      <c r="E756" s="27">
        <v>0</v>
      </c>
      <c r="F756" s="27">
        <v>419387.75</v>
      </c>
      <c r="H756" s="27">
        <v>2716.07</v>
      </c>
      <c r="J756" s="27">
        <v>416671.68</v>
      </c>
      <c r="K756" s="25">
        <f t="shared" si="11"/>
        <v>416671.68</v>
      </c>
    </row>
    <row r="757" spans="1:11" ht="27.95" customHeight="1" x14ac:dyDescent="0.2">
      <c r="A757" s="26" t="s">
        <v>1558</v>
      </c>
      <c r="B757" s="369" t="s">
        <v>1559</v>
      </c>
      <c r="C757" s="370"/>
      <c r="D757" s="370"/>
      <c r="E757" s="27">
        <v>0</v>
      </c>
      <c r="F757" s="27">
        <v>19632.5</v>
      </c>
      <c r="H757" s="27">
        <v>0</v>
      </c>
      <c r="J757" s="27">
        <v>19632.5</v>
      </c>
      <c r="K757" s="25">
        <f t="shared" si="11"/>
        <v>19632.5</v>
      </c>
    </row>
    <row r="758" spans="1:11" ht="15.95" customHeight="1" x14ac:dyDescent="0.2">
      <c r="A758" s="26">
        <v>5110102</v>
      </c>
      <c r="B758" s="369" t="s">
        <v>1286</v>
      </c>
      <c r="C758" s="370"/>
      <c r="D758" s="370"/>
      <c r="E758" s="27">
        <v>0</v>
      </c>
      <c r="F758" s="27">
        <v>218800.8</v>
      </c>
      <c r="H758" s="27">
        <v>7683.51</v>
      </c>
      <c r="J758" s="27">
        <v>211117.29</v>
      </c>
      <c r="K758" s="25">
        <f t="shared" si="11"/>
        <v>211117.29</v>
      </c>
    </row>
    <row r="759" spans="1:11" ht="15.95" customHeight="1" x14ac:dyDescent="0.2">
      <c r="A759" s="26" t="s">
        <v>1287</v>
      </c>
      <c r="B759" s="369" t="s">
        <v>1288</v>
      </c>
      <c r="C759" s="370"/>
      <c r="D759" s="370"/>
      <c r="E759" s="27">
        <v>0</v>
      </c>
      <c r="F759" s="27">
        <v>68548.95</v>
      </c>
      <c r="H759" s="27">
        <v>7683.51</v>
      </c>
      <c r="J759" s="27">
        <v>60865.440000000002</v>
      </c>
      <c r="K759" s="25">
        <f t="shared" si="11"/>
        <v>60865.440000000002</v>
      </c>
    </row>
    <row r="760" spans="1:11" ht="15.95" customHeight="1" x14ac:dyDescent="0.2">
      <c r="A760" s="26" t="s">
        <v>1289</v>
      </c>
      <c r="B760" s="369" t="s">
        <v>1290</v>
      </c>
      <c r="C760" s="370"/>
      <c r="D760" s="370"/>
      <c r="E760" s="27">
        <v>0</v>
      </c>
      <c r="F760" s="27">
        <v>91574.36</v>
      </c>
      <c r="H760" s="27">
        <v>0</v>
      </c>
      <c r="J760" s="27">
        <v>91574.36</v>
      </c>
      <c r="K760" s="25">
        <f t="shared" si="11"/>
        <v>91574.36</v>
      </c>
    </row>
    <row r="761" spans="1:11" ht="15.95" customHeight="1" x14ac:dyDescent="0.2">
      <c r="A761" s="26" t="s">
        <v>1625</v>
      </c>
      <c r="B761" s="369" t="s">
        <v>1562</v>
      </c>
      <c r="C761" s="370"/>
      <c r="D761" s="370"/>
      <c r="E761" s="27">
        <v>0</v>
      </c>
      <c r="F761" s="27">
        <v>59.9</v>
      </c>
      <c r="H761" s="27">
        <v>0</v>
      </c>
      <c r="J761" s="27">
        <v>59.9</v>
      </c>
      <c r="K761" s="25">
        <f t="shared" si="11"/>
        <v>59.9</v>
      </c>
    </row>
    <row r="762" spans="1:11" ht="15.95" customHeight="1" x14ac:dyDescent="0.2">
      <c r="A762" s="26" t="s">
        <v>1626</v>
      </c>
      <c r="B762" s="369" t="s">
        <v>1564</v>
      </c>
      <c r="C762" s="370"/>
      <c r="D762" s="370"/>
      <c r="E762" s="27">
        <v>0</v>
      </c>
      <c r="F762" s="27">
        <v>399</v>
      </c>
      <c r="H762" s="27">
        <v>0</v>
      </c>
      <c r="J762" s="27">
        <v>399</v>
      </c>
      <c r="K762" s="25">
        <f t="shared" si="11"/>
        <v>399</v>
      </c>
    </row>
    <row r="763" spans="1:11" ht="15.95" customHeight="1" x14ac:dyDescent="0.2">
      <c r="A763" s="26" t="s">
        <v>1560</v>
      </c>
      <c r="B763" s="369" t="s">
        <v>1300</v>
      </c>
      <c r="C763" s="370"/>
      <c r="D763" s="370"/>
      <c r="E763" s="27">
        <v>0</v>
      </c>
      <c r="F763" s="27">
        <v>70</v>
      </c>
      <c r="H763" s="27">
        <v>0</v>
      </c>
      <c r="J763" s="27">
        <v>70</v>
      </c>
      <c r="K763" s="25">
        <f t="shared" si="11"/>
        <v>70</v>
      </c>
    </row>
    <row r="764" spans="1:11" ht="15.95" customHeight="1" x14ac:dyDescent="0.2">
      <c r="A764" s="26" t="s">
        <v>1291</v>
      </c>
      <c r="B764" s="369" t="s">
        <v>1292</v>
      </c>
      <c r="C764" s="370"/>
      <c r="D764" s="370"/>
      <c r="E764" s="27">
        <v>0</v>
      </c>
      <c r="F764" s="27">
        <v>23050.53</v>
      </c>
      <c r="H764" s="27">
        <v>0</v>
      </c>
      <c r="J764" s="27">
        <v>23050.53</v>
      </c>
      <c r="K764" s="25">
        <f t="shared" si="11"/>
        <v>23050.53</v>
      </c>
    </row>
    <row r="765" spans="1:11" ht="15.95" customHeight="1" x14ac:dyDescent="0.2">
      <c r="A765" s="26" t="s">
        <v>1293</v>
      </c>
      <c r="B765" s="369" t="s">
        <v>1294</v>
      </c>
      <c r="C765" s="370"/>
      <c r="D765" s="370"/>
      <c r="E765" s="27">
        <v>0</v>
      </c>
      <c r="F765" s="27">
        <v>35098.06</v>
      </c>
      <c r="H765" s="27">
        <v>0</v>
      </c>
      <c r="J765" s="27">
        <v>35098.06</v>
      </c>
      <c r="K765" s="25">
        <f t="shared" si="11"/>
        <v>35098.06</v>
      </c>
    </row>
    <row r="766" spans="1:11" ht="15.95" customHeight="1" x14ac:dyDescent="0.2">
      <c r="A766" s="26">
        <v>5110103</v>
      </c>
      <c r="B766" s="369" t="s">
        <v>1295</v>
      </c>
      <c r="C766" s="370"/>
      <c r="D766" s="370"/>
      <c r="E766" s="27">
        <v>0</v>
      </c>
      <c r="F766" s="27">
        <v>4770021.1100000003</v>
      </c>
      <c r="H766" s="27">
        <v>1556.47</v>
      </c>
      <c r="J766" s="27">
        <v>4768464.6399999997</v>
      </c>
      <c r="K766" s="25">
        <f t="shared" si="11"/>
        <v>4768464.6399999997</v>
      </c>
    </row>
    <row r="767" spans="1:11" ht="15.95" customHeight="1" x14ac:dyDescent="0.2">
      <c r="A767" s="26" t="s">
        <v>1627</v>
      </c>
      <c r="B767" s="369" t="s">
        <v>1628</v>
      </c>
      <c r="C767" s="370"/>
      <c r="D767" s="370"/>
      <c r="E767" s="27">
        <v>0</v>
      </c>
      <c r="F767" s="27">
        <v>36000</v>
      </c>
      <c r="H767" s="27">
        <v>0</v>
      </c>
      <c r="J767" s="27">
        <v>36000</v>
      </c>
      <c r="K767" s="25">
        <f t="shared" si="11"/>
        <v>36000</v>
      </c>
    </row>
    <row r="768" spans="1:11" ht="15.95" customHeight="1" x14ac:dyDescent="0.2">
      <c r="A768" s="26" t="s">
        <v>1296</v>
      </c>
      <c r="B768" s="369" t="s">
        <v>1297</v>
      </c>
      <c r="C768" s="370"/>
      <c r="D768" s="370"/>
      <c r="E768" s="27">
        <v>0</v>
      </c>
      <c r="F768" s="27">
        <v>161657.98000000001</v>
      </c>
      <c r="H768" s="27">
        <v>0</v>
      </c>
      <c r="J768" s="27">
        <v>161657.98000000001</v>
      </c>
      <c r="K768" s="25">
        <f t="shared" si="11"/>
        <v>161657.98000000001</v>
      </c>
    </row>
    <row r="769" spans="1:11" ht="15.95" customHeight="1" x14ac:dyDescent="0.2">
      <c r="A769" s="26" t="s">
        <v>1298</v>
      </c>
      <c r="B769" s="369" t="s">
        <v>1203</v>
      </c>
      <c r="C769" s="370"/>
      <c r="D769" s="370"/>
      <c r="E769" s="27">
        <v>0</v>
      </c>
      <c r="F769" s="27">
        <v>833</v>
      </c>
      <c r="H769" s="27">
        <v>0</v>
      </c>
      <c r="J769" s="27">
        <v>833</v>
      </c>
      <c r="K769" s="25">
        <f t="shared" si="11"/>
        <v>833</v>
      </c>
    </row>
    <row r="770" spans="1:11" ht="15.95" customHeight="1" x14ac:dyDescent="0.2">
      <c r="A770" s="26" t="s">
        <v>1561</v>
      </c>
      <c r="B770" s="369" t="s">
        <v>1562</v>
      </c>
      <c r="C770" s="370"/>
      <c r="D770" s="370"/>
      <c r="E770" s="27">
        <v>0</v>
      </c>
      <c r="F770" s="27">
        <v>113203.86</v>
      </c>
      <c r="H770" s="27">
        <v>0</v>
      </c>
      <c r="J770" s="27">
        <v>113203.86</v>
      </c>
      <c r="K770" s="25">
        <f t="shared" si="11"/>
        <v>113203.86</v>
      </c>
    </row>
    <row r="771" spans="1:11" ht="15.95" customHeight="1" x14ac:dyDescent="0.2">
      <c r="A771" s="26" t="s">
        <v>1563</v>
      </c>
      <c r="B771" s="369" t="s">
        <v>1564</v>
      </c>
      <c r="C771" s="370"/>
      <c r="D771" s="370"/>
      <c r="E771" s="27">
        <v>0</v>
      </c>
      <c r="F771" s="27">
        <v>1020</v>
      </c>
      <c r="H771" s="27">
        <v>0</v>
      </c>
      <c r="J771" s="27">
        <v>1020</v>
      </c>
      <c r="K771" s="25">
        <f t="shared" ref="K771:K834" si="12">J771-E771</f>
        <v>1020</v>
      </c>
    </row>
    <row r="772" spans="1:11" ht="15.95" customHeight="1" x14ac:dyDescent="0.2">
      <c r="A772" s="26" t="s">
        <v>1299</v>
      </c>
      <c r="B772" s="369" t="s">
        <v>1300</v>
      </c>
      <c r="C772" s="370"/>
      <c r="D772" s="370"/>
      <c r="E772" s="27">
        <v>0</v>
      </c>
      <c r="F772" s="27">
        <v>9893.58</v>
      </c>
      <c r="H772" s="27">
        <v>0</v>
      </c>
      <c r="J772" s="27">
        <v>9893.58</v>
      </c>
      <c r="K772" s="25">
        <f t="shared" si="12"/>
        <v>9893.58</v>
      </c>
    </row>
    <row r="773" spans="1:11" ht="15.95" customHeight="1" x14ac:dyDescent="0.2">
      <c r="A773" s="26" t="s">
        <v>1565</v>
      </c>
      <c r="B773" s="369" t="s">
        <v>1566</v>
      </c>
      <c r="C773" s="370"/>
      <c r="D773" s="370"/>
      <c r="E773" s="27">
        <v>0</v>
      </c>
      <c r="F773" s="27">
        <v>15495.21</v>
      </c>
      <c r="H773" s="27">
        <v>0</v>
      </c>
      <c r="J773" s="27">
        <v>15495.21</v>
      </c>
      <c r="K773" s="25">
        <f t="shared" si="12"/>
        <v>15495.21</v>
      </c>
    </row>
    <row r="774" spans="1:11" ht="15.95" customHeight="1" x14ac:dyDescent="0.2">
      <c r="A774" s="26" t="s">
        <v>1301</v>
      </c>
      <c r="B774" s="369" t="s">
        <v>1302</v>
      </c>
      <c r="C774" s="370"/>
      <c r="D774" s="370"/>
      <c r="E774" s="27">
        <v>0</v>
      </c>
      <c r="F774" s="27">
        <v>16976.52</v>
      </c>
      <c r="H774" s="27">
        <v>0</v>
      </c>
      <c r="J774" s="27">
        <v>16976.52</v>
      </c>
      <c r="K774" s="25">
        <f t="shared" si="12"/>
        <v>16976.52</v>
      </c>
    </row>
    <row r="775" spans="1:11" ht="15.95" customHeight="1" x14ac:dyDescent="0.2">
      <c r="A775" s="26" t="s">
        <v>1303</v>
      </c>
      <c r="B775" s="369" t="s">
        <v>1304</v>
      </c>
      <c r="C775" s="370"/>
      <c r="D775" s="370"/>
      <c r="E775" s="27">
        <v>0</v>
      </c>
      <c r="F775" s="27">
        <v>1213530.51</v>
      </c>
      <c r="H775" s="27">
        <v>0</v>
      </c>
      <c r="J775" s="27">
        <v>1213530.51</v>
      </c>
      <c r="K775" s="25">
        <f t="shared" si="12"/>
        <v>1213530.51</v>
      </c>
    </row>
    <row r="776" spans="1:11" ht="15.95" customHeight="1" x14ac:dyDescent="0.2">
      <c r="A776" s="26" t="s">
        <v>1305</v>
      </c>
      <c r="B776" s="369" t="s">
        <v>1306</v>
      </c>
      <c r="C776" s="370"/>
      <c r="D776" s="370"/>
      <c r="E776" s="27">
        <v>0</v>
      </c>
      <c r="F776" s="27">
        <v>1598454.61</v>
      </c>
      <c r="H776" s="27">
        <v>0</v>
      </c>
      <c r="J776" s="27">
        <v>1598454.61</v>
      </c>
      <c r="K776" s="25">
        <f t="shared" si="12"/>
        <v>1598454.61</v>
      </c>
    </row>
    <row r="777" spans="1:11" ht="15.95" customHeight="1" x14ac:dyDescent="0.2">
      <c r="A777" s="26" t="s">
        <v>1307</v>
      </c>
      <c r="B777" s="369" t="s">
        <v>1308</v>
      </c>
      <c r="C777" s="370"/>
      <c r="D777" s="370"/>
      <c r="E777" s="27">
        <v>0</v>
      </c>
      <c r="F777" s="27">
        <v>12608</v>
      </c>
      <c r="H777" s="27">
        <v>0</v>
      </c>
      <c r="J777" s="27">
        <v>12608</v>
      </c>
      <c r="K777" s="25">
        <f t="shared" si="12"/>
        <v>12608</v>
      </c>
    </row>
    <row r="778" spans="1:11" ht="15.95" customHeight="1" x14ac:dyDescent="0.2">
      <c r="A778" s="26" t="s">
        <v>1309</v>
      </c>
      <c r="B778" s="369" t="s">
        <v>1310</v>
      </c>
      <c r="C778" s="370"/>
      <c r="D778" s="370"/>
      <c r="E778" s="27">
        <v>0</v>
      </c>
      <c r="F778" s="27">
        <v>1465032.44</v>
      </c>
      <c r="H778" s="27">
        <v>1556.47</v>
      </c>
      <c r="J778" s="27">
        <v>1463475.97</v>
      </c>
      <c r="K778" s="25">
        <f t="shared" si="12"/>
        <v>1463475.97</v>
      </c>
    </row>
    <row r="779" spans="1:11" ht="15.95" customHeight="1" x14ac:dyDescent="0.2">
      <c r="A779" s="26" t="s">
        <v>1311</v>
      </c>
      <c r="B779" s="369" t="s">
        <v>1312</v>
      </c>
      <c r="C779" s="370"/>
      <c r="D779" s="370"/>
      <c r="E779" s="27">
        <v>0</v>
      </c>
      <c r="F779" s="27">
        <v>6500</v>
      </c>
      <c r="H779" s="27">
        <v>0</v>
      </c>
      <c r="J779" s="27">
        <v>6500</v>
      </c>
      <c r="K779" s="25">
        <f t="shared" si="12"/>
        <v>6500</v>
      </c>
    </row>
    <row r="780" spans="1:11" ht="15.95" customHeight="1" x14ac:dyDescent="0.2">
      <c r="A780" s="26" t="s">
        <v>1313</v>
      </c>
      <c r="B780" s="369" t="s">
        <v>1314</v>
      </c>
      <c r="C780" s="370"/>
      <c r="D780" s="370"/>
      <c r="E780" s="27">
        <v>0</v>
      </c>
      <c r="F780" s="27">
        <v>33125</v>
      </c>
      <c r="H780" s="27">
        <v>0</v>
      </c>
      <c r="J780" s="27">
        <v>33125</v>
      </c>
      <c r="K780" s="25">
        <f t="shared" si="12"/>
        <v>33125</v>
      </c>
    </row>
    <row r="781" spans="1:11" ht="15.95" customHeight="1" x14ac:dyDescent="0.2">
      <c r="A781" s="26" t="s">
        <v>1315</v>
      </c>
      <c r="B781" s="369" t="s">
        <v>1316</v>
      </c>
      <c r="C781" s="370"/>
      <c r="D781" s="370"/>
      <c r="E781" s="27">
        <v>0</v>
      </c>
      <c r="F781" s="27">
        <v>71540.399999999994</v>
      </c>
      <c r="H781" s="27">
        <v>0</v>
      </c>
      <c r="J781" s="27">
        <v>71540.399999999994</v>
      </c>
      <c r="K781" s="25">
        <f t="shared" si="12"/>
        <v>71540.399999999994</v>
      </c>
    </row>
    <row r="782" spans="1:11" ht="15.95" customHeight="1" x14ac:dyDescent="0.2">
      <c r="A782" s="26" t="s">
        <v>1317</v>
      </c>
      <c r="B782" s="369" t="s">
        <v>1318</v>
      </c>
      <c r="C782" s="370"/>
      <c r="D782" s="370"/>
      <c r="E782" s="27">
        <v>0</v>
      </c>
      <c r="F782" s="27">
        <v>1041</v>
      </c>
      <c r="H782" s="27">
        <v>0</v>
      </c>
      <c r="J782" s="27">
        <v>1041</v>
      </c>
      <c r="K782" s="25">
        <f t="shared" si="12"/>
        <v>1041</v>
      </c>
    </row>
    <row r="783" spans="1:11" ht="15.95" customHeight="1" x14ac:dyDescent="0.2">
      <c r="A783" s="26" t="s">
        <v>1323</v>
      </c>
      <c r="B783" s="369" t="s">
        <v>1324</v>
      </c>
      <c r="C783" s="370"/>
      <c r="D783" s="370"/>
      <c r="E783" s="27">
        <v>0</v>
      </c>
      <c r="F783" s="27">
        <v>13109</v>
      </c>
      <c r="H783" s="27">
        <v>0</v>
      </c>
      <c r="J783" s="27">
        <v>13109</v>
      </c>
      <c r="K783" s="25">
        <f t="shared" si="12"/>
        <v>13109</v>
      </c>
    </row>
    <row r="784" spans="1:11" ht="15.95" customHeight="1" x14ac:dyDescent="0.2">
      <c r="A784" s="26">
        <v>5110104</v>
      </c>
      <c r="B784" s="369" t="s">
        <v>1325</v>
      </c>
      <c r="C784" s="370"/>
      <c r="D784" s="370"/>
      <c r="E784" s="27">
        <v>0</v>
      </c>
      <c r="F784" s="27">
        <v>119447.35</v>
      </c>
      <c r="H784" s="27">
        <v>228.27</v>
      </c>
      <c r="J784" s="27">
        <v>119219.08</v>
      </c>
      <c r="K784" s="25">
        <f t="shared" si="12"/>
        <v>119219.08</v>
      </c>
    </row>
    <row r="785" spans="1:11" ht="15.95" customHeight="1" x14ac:dyDescent="0.2">
      <c r="A785" s="26" t="s">
        <v>1326</v>
      </c>
      <c r="B785" s="369" t="s">
        <v>182</v>
      </c>
      <c r="C785" s="370"/>
      <c r="D785" s="370"/>
      <c r="E785" s="27">
        <v>0</v>
      </c>
      <c r="F785" s="27">
        <v>23699.95</v>
      </c>
      <c r="H785" s="27">
        <v>50.67</v>
      </c>
      <c r="J785" s="27">
        <v>23649.279999999999</v>
      </c>
      <c r="K785" s="25">
        <f t="shared" si="12"/>
        <v>23649.279999999999</v>
      </c>
    </row>
    <row r="786" spans="1:11" ht="15.95" customHeight="1" x14ac:dyDescent="0.2">
      <c r="A786" s="26" t="s">
        <v>1327</v>
      </c>
      <c r="B786" s="369" t="s">
        <v>1328</v>
      </c>
      <c r="C786" s="370"/>
      <c r="D786" s="370"/>
      <c r="E786" s="27">
        <v>0</v>
      </c>
      <c r="F786" s="27">
        <v>27644.9</v>
      </c>
      <c r="H786" s="27">
        <v>0</v>
      </c>
      <c r="J786" s="27">
        <v>27644.9</v>
      </c>
      <c r="K786" s="25">
        <f t="shared" si="12"/>
        <v>27644.9</v>
      </c>
    </row>
    <row r="787" spans="1:11" ht="15.95" customHeight="1" x14ac:dyDescent="0.2">
      <c r="A787" s="26" t="s">
        <v>1329</v>
      </c>
      <c r="B787" s="369" t="s">
        <v>1330</v>
      </c>
      <c r="C787" s="370"/>
      <c r="D787" s="370"/>
      <c r="E787" s="27">
        <v>0</v>
      </c>
      <c r="F787" s="27">
        <v>8986.23</v>
      </c>
      <c r="H787" s="27">
        <v>0</v>
      </c>
      <c r="J787" s="27">
        <v>8986.23</v>
      </c>
      <c r="K787" s="25">
        <f t="shared" si="12"/>
        <v>8986.23</v>
      </c>
    </row>
    <row r="788" spans="1:11" ht="15.95" customHeight="1" x14ac:dyDescent="0.2">
      <c r="A788" s="26" t="s">
        <v>1331</v>
      </c>
      <c r="B788" s="369" t="s">
        <v>1332</v>
      </c>
      <c r="C788" s="370"/>
      <c r="D788" s="370"/>
      <c r="E788" s="27">
        <v>0</v>
      </c>
      <c r="F788" s="27">
        <v>631.55999999999995</v>
      </c>
      <c r="H788" s="27">
        <v>0</v>
      </c>
      <c r="J788" s="27">
        <v>631.55999999999995</v>
      </c>
      <c r="K788" s="25">
        <f t="shared" si="12"/>
        <v>631.55999999999995</v>
      </c>
    </row>
    <row r="789" spans="1:11" ht="15.95" customHeight="1" x14ac:dyDescent="0.2">
      <c r="A789" s="26" t="s">
        <v>1333</v>
      </c>
      <c r="B789" s="369" t="s">
        <v>186</v>
      </c>
      <c r="C789" s="370"/>
      <c r="D789" s="370"/>
      <c r="E789" s="27">
        <v>0</v>
      </c>
      <c r="F789" s="27">
        <v>1994.75</v>
      </c>
      <c r="H789" s="27">
        <v>0</v>
      </c>
      <c r="J789" s="27">
        <v>1994.75</v>
      </c>
      <c r="K789" s="25">
        <f t="shared" si="12"/>
        <v>1994.75</v>
      </c>
    </row>
    <row r="790" spans="1:11" ht="15.95" customHeight="1" x14ac:dyDescent="0.2">
      <c r="A790" s="26" t="s">
        <v>1334</v>
      </c>
      <c r="B790" s="369" t="s">
        <v>1335</v>
      </c>
      <c r="C790" s="370"/>
      <c r="D790" s="370"/>
      <c r="E790" s="27">
        <v>0</v>
      </c>
      <c r="F790" s="27">
        <v>2830.04</v>
      </c>
      <c r="H790" s="27">
        <v>0</v>
      </c>
      <c r="J790" s="27">
        <v>2830.04</v>
      </c>
      <c r="K790" s="25">
        <f t="shared" si="12"/>
        <v>2830.04</v>
      </c>
    </row>
    <row r="791" spans="1:11" ht="15.95" customHeight="1" x14ac:dyDescent="0.2">
      <c r="A791" s="26" t="s">
        <v>1336</v>
      </c>
      <c r="B791" s="369" t="s">
        <v>188</v>
      </c>
      <c r="C791" s="370"/>
      <c r="D791" s="370"/>
      <c r="E791" s="27">
        <v>0</v>
      </c>
      <c r="F791" s="27">
        <v>1200.9000000000001</v>
      </c>
      <c r="H791" s="27">
        <v>0</v>
      </c>
      <c r="J791" s="27">
        <v>1200.9000000000001</v>
      </c>
      <c r="K791" s="25">
        <f t="shared" si="12"/>
        <v>1200.9000000000001</v>
      </c>
    </row>
    <row r="792" spans="1:11" ht="15.95" customHeight="1" x14ac:dyDescent="0.2">
      <c r="A792" s="26" t="s">
        <v>1337</v>
      </c>
      <c r="B792" s="369" t="s">
        <v>1227</v>
      </c>
      <c r="C792" s="370"/>
      <c r="D792" s="370"/>
      <c r="E792" s="27">
        <v>0</v>
      </c>
      <c r="F792" s="27">
        <v>5959.58</v>
      </c>
      <c r="H792" s="27">
        <v>0</v>
      </c>
      <c r="J792" s="27">
        <v>5959.58</v>
      </c>
      <c r="K792" s="25">
        <f t="shared" si="12"/>
        <v>5959.58</v>
      </c>
    </row>
    <row r="793" spans="1:11" ht="15.95" customHeight="1" x14ac:dyDescent="0.2">
      <c r="A793" s="26" t="s">
        <v>1338</v>
      </c>
      <c r="B793" s="369" t="s">
        <v>1224</v>
      </c>
      <c r="C793" s="370"/>
      <c r="D793" s="370"/>
      <c r="E793" s="27">
        <v>0</v>
      </c>
      <c r="F793" s="27">
        <v>39674.39</v>
      </c>
      <c r="H793" s="27">
        <v>177.6</v>
      </c>
      <c r="J793" s="27">
        <v>39496.79</v>
      </c>
      <c r="K793" s="25">
        <f t="shared" si="12"/>
        <v>39496.79</v>
      </c>
    </row>
    <row r="794" spans="1:11" ht="15.95" customHeight="1" x14ac:dyDescent="0.2">
      <c r="A794" s="26" t="s">
        <v>1339</v>
      </c>
      <c r="B794" s="369" t="s">
        <v>1340</v>
      </c>
      <c r="C794" s="370"/>
      <c r="D794" s="370"/>
      <c r="E794" s="27">
        <v>0</v>
      </c>
      <c r="F794" s="27">
        <v>1372.04</v>
      </c>
      <c r="H794" s="27">
        <v>0</v>
      </c>
      <c r="J794" s="27">
        <v>1372.04</v>
      </c>
      <c r="K794" s="25">
        <f t="shared" si="12"/>
        <v>1372.04</v>
      </c>
    </row>
    <row r="795" spans="1:11" ht="15.95" customHeight="1" x14ac:dyDescent="0.2">
      <c r="A795" s="26" t="s">
        <v>1629</v>
      </c>
      <c r="B795" s="369" t="s">
        <v>1630</v>
      </c>
      <c r="C795" s="370"/>
      <c r="D795" s="370"/>
      <c r="E795" s="27">
        <v>0</v>
      </c>
      <c r="F795" s="27">
        <v>5205.6000000000004</v>
      </c>
      <c r="H795" s="27">
        <v>0</v>
      </c>
      <c r="J795" s="27">
        <v>5205.6000000000004</v>
      </c>
      <c r="K795" s="25">
        <f t="shared" si="12"/>
        <v>5205.6000000000004</v>
      </c>
    </row>
    <row r="796" spans="1:11" ht="15.95" customHeight="1" x14ac:dyDescent="0.2">
      <c r="A796" s="26" t="s">
        <v>1341</v>
      </c>
      <c r="B796" s="369" t="s">
        <v>1230</v>
      </c>
      <c r="C796" s="370"/>
      <c r="D796" s="370"/>
      <c r="E796" s="27">
        <v>0</v>
      </c>
      <c r="F796" s="27">
        <v>247.41</v>
      </c>
      <c r="H796" s="27">
        <v>0</v>
      </c>
      <c r="J796" s="27">
        <v>247.41</v>
      </c>
      <c r="K796" s="25">
        <f t="shared" si="12"/>
        <v>247.41</v>
      </c>
    </row>
    <row r="797" spans="1:11" ht="15.95" customHeight="1" x14ac:dyDescent="0.2">
      <c r="A797" s="26">
        <v>5110105</v>
      </c>
      <c r="B797" s="369" t="s">
        <v>1343</v>
      </c>
      <c r="C797" s="370"/>
      <c r="D797" s="370"/>
      <c r="E797" s="27">
        <v>0</v>
      </c>
      <c r="F797" s="27">
        <v>2591227.81</v>
      </c>
      <c r="H797" s="27">
        <v>9396.06</v>
      </c>
      <c r="J797" s="27">
        <v>2581831.75</v>
      </c>
      <c r="K797" s="25">
        <f t="shared" si="12"/>
        <v>2581831.75</v>
      </c>
    </row>
    <row r="798" spans="1:11" ht="15.95" customHeight="1" x14ac:dyDescent="0.2">
      <c r="A798" s="26" t="s">
        <v>1344</v>
      </c>
      <c r="B798" s="369" t="s">
        <v>1239</v>
      </c>
      <c r="C798" s="370"/>
      <c r="D798" s="370"/>
      <c r="E798" s="27">
        <v>0</v>
      </c>
      <c r="F798" s="27">
        <v>266398.17</v>
      </c>
      <c r="H798" s="27">
        <v>0</v>
      </c>
      <c r="J798" s="27">
        <v>266398.17</v>
      </c>
      <c r="K798" s="25">
        <f t="shared" si="12"/>
        <v>266398.17</v>
      </c>
    </row>
    <row r="799" spans="1:11" ht="15.95" customHeight="1" x14ac:dyDescent="0.2">
      <c r="A799" s="26" t="s">
        <v>1345</v>
      </c>
      <c r="B799" s="369" t="s">
        <v>1346</v>
      </c>
      <c r="C799" s="370"/>
      <c r="D799" s="370"/>
      <c r="E799" s="27">
        <v>0</v>
      </c>
      <c r="F799" s="27">
        <v>18351.73</v>
      </c>
      <c r="H799" s="27">
        <v>0</v>
      </c>
      <c r="J799" s="27">
        <v>18351.73</v>
      </c>
      <c r="K799" s="25">
        <f t="shared" si="12"/>
        <v>18351.73</v>
      </c>
    </row>
    <row r="800" spans="1:11" ht="15.95" customHeight="1" x14ac:dyDescent="0.2">
      <c r="A800" s="26" t="s">
        <v>1347</v>
      </c>
      <c r="B800" s="369" t="s">
        <v>1348</v>
      </c>
      <c r="C800" s="370"/>
      <c r="D800" s="370"/>
      <c r="E800" s="27">
        <v>0</v>
      </c>
      <c r="F800" s="27">
        <v>10908.61</v>
      </c>
      <c r="H800" s="27">
        <v>0</v>
      </c>
      <c r="J800" s="27">
        <v>10908.61</v>
      </c>
      <c r="K800" s="25">
        <f t="shared" si="12"/>
        <v>10908.61</v>
      </c>
    </row>
    <row r="801" spans="1:12" ht="15.95" customHeight="1" x14ac:dyDescent="0.2">
      <c r="A801" s="26" t="s">
        <v>1567</v>
      </c>
      <c r="B801" s="369" t="s">
        <v>1241</v>
      </c>
      <c r="C801" s="370"/>
      <c r="D801" s="370"/>
      <c r="E801" s="27">
        <v>0</v>
      </c>
      <c r="F801" s="27">
        <v>904.17</v>
      </c>
      <c r="H801" s="27">
        <v>0</v>
      </c>
      <c r="J801" s="27">
        <v>904.17</v>
      </c>
      <c r="K801" s="25">
        <f t="shared" si="12"/>
        <v>904.17</v>
      </c>
    </row>
    <row r="802" spans="1:12" ht="15.95" customHeight="1" x14ac:dyDescent="0.2">
      <c r="A802" s="26" t="s">
        <v>1568</v>
      </c>
      <c r="B802" s="369" t="s">
        <v>1569</v>
      </c>
      <c r="C802" s="370"/>
      <c r="D802" s="370"/>
      <c r="E802" s="27">
        <v>0</v>
      </c>
      <c r="F802" s="27">
        <v>35169.53</v>
      </c>
      <c r="H802" s="27">
        <v>0</v>
      </c>
      <c r="J802" s="27">
        <v>35169.53</v>
      </c>
      <c r="K802" s="25">
        <f t="shared" si="12"/>
        <v>35169.53</v>
      </c>
    </row>
    <row r="803" spans="1:12" ht="15.95" customHeight="1" x14ac:dyDescent="0.2">
      <c r="A803" s="26" t="s">
        <v>1349</v>
      </c>
      <c r="B803" s="369" t="s">
        <v>1243</v>
      </c>
      <c r="C803" s="370"/>
      <c r="D803" s="370"/>
      <c r="E803" s="27">
        <v>0</v>
      </c>
      <c r="F803" s="27">
        <v>5625</v>
      </c>
      <c r="H803" s="27">
        <v>0</v>
      </c>
      <c r="J803" s="27">
        <v>5625</v>
      </c>
      <c r="K803" s="25">
        <f t="shared" si="12"/>
        <v>5625</v>
      </c>
    </row>
    <row r="804" spans="1:12" ht="15.95" customHeight="1" x14ac:dyDescent="0.2">
      <c r="A804" s="26" t="s">
        <v>1570</v>
      </c>
      <c r="B804" s="369" t="s">
        <v>1571</v>
      </c>
      <c r="C804" s="370"/>
      <c r="D804" s="370"/>
      <c r="E804" s="27">
        <v>0</v>
      </c>
      <c r="F804" s="27">
        <v>10336.629999999999</v>
      </c>
      <c r="H804" s="27">
        <v>0</v>
      </c>
      <c r="J804" s="27">
        <v>10336.629999999999</v>
      </c>
      <c r="K804" s="25">
        <f t="shared" si="12"/>
        <v>10336.629999999999</v>
      </c>
    </row>
    <row r="805" spans="1:12" ht="15.95" customHeight="1" x14ac:dyDescent="0.2">
      <c r="A805" s="26" t="s">
        <v>1350</v>
      </c>
      <c r="B805" s="369" t="s">
        <v>1351</v>
      </c>
      <c r="C805" s="370"/>
      <c r="D805" s="370"/>
      <c r="E805" s="27">
        <v>0</v>
      </c>
      <c r="F805" s="27">
        <v>6323.21</v>
      </c>
      <c r="H805" s="27">
        <v>0</v>
      </c>
      <c r="J805" s="27">
        <v>6323.21</v>
      </c>
      <c r="K805" s="25">
        <f t="shared" si="12"/>
        <v>6323.21</v>
      </c>
    </row>
    <row r="806" spans="1:12" ht="15.95" customHeight="1" x14ac:dyDescent="0.2">
      <c r="A806" s="26" t="s">
        <v>1352</v>
      </c>
      <c r="B806" s="369" t="s">
        <v>1353</v>
      </c>
      <c r="C806" s="370"/>
      <c r="D806" s="370"/>
      <c r="E806" s="27">
        <v>0</v>
      </c>
      <c r="F806" s="27">
        <v>74.38</v>
      </c>
      <c r="H806" s="27">
        <v>0</v>
      </c>
      <c r="J806" s="27">
        <v>74.38</v>
      </c>
      <c r="K806" s="25">
        <f t="shared" si="12"/>
        <v>74.38</v>
      </c>
    </row>
    <row r="807" spans="1:12" ht="15.95" customHeight="1" x14ac:dyDescent="0.2">
      <c r="A807" s="26" t="s">
        <v>1354</v>
      </c>
      <c r="B807" s="369" t="s">
        <v>1355</v>
      </c>
      <c r="C807" s="370"/>
      <c r="D807" s="370"/>
      <c r="E807" s="27">
        <v>0</v>
      </c>
      <c r="F807" s="27">
        <v>101263.56</v>
      </c>
      <c r="H807" s="27">
        <v>9041.7900000000009</v>
      </c>
      <c r="J807" s="27">
        <v>92221.77</v>
      </c>
      <c r="K807" s="25">
        <f t="shared" si="12"/>
        <v>92221.77</v>
      </c>
    </row>
    <row r="808" spans="1:12" ht="15.95" customHeight="1" x14ac:dyDescent="0.2">
      <c r="A808" s="26" t="s">
        <v>1572</v>
      </c>
      <c r="B808" s="369" t="s">
        <v>1573</v>
      </c>
      <c r="C808" s="370"/>
      <c r="D808" s="370"/>
      <c r="E808" s="27">
        <v>0</v>
      </c>
      <c r="F808" s="27">
        <v>198.71</v>
      </c>
      <c r="H808" s="27">
        <v>0</v>
      </c>
      <c r="J808" s="27">
        <v>198.71</v>
      </c>
      <c r="K808" s="25">
        <f t="shared" si="12"/>
        <v>198.71</v>
      </c>
    </row>
    <row r="809" spans="1:12" ht="15.95" customHeight="1" x14ac:dyDescent="0.2">
      <c r="A809" s="26" t="s">
        <v>1356</v>
      </c>
      <c r="B809" s="369" t="s">
        <v>200</v>
      </c>
      <c r="C809" s="370"/>
      <c r="D809" s="370"/>
      <c r="E809" s="27">
        <v>0</v>
      </c>
      <c r="F809" s="27">
        <v>96642</v>
      </c>
      <c r="H809" s="27">
        <v>0</v>
      </c>
      <c r="J809" s="27">
        <v>96642</v>
      </c>
      <c r="K809" s="25">
        <f t="shared" si="12"/>
        <v>96642</v>
      </c>
    </row>
    <row r="810" spans="1:12" ht="15.95" customHeight="1" x14ac:dyDescent="0.2">
      <c r="A810" s="26" t="s">
        <v>1357</v>
      </c>
      <c r="B810" s="369" t="s">
        <v>1358</v>
      </c>
      <c r="C810" s="370"/>
      <c r="D810" s="370"/>
      <c r="E810" s="27">
        <v>0</v>
      </c>
      <c r="F810" s="27">
        <v>152008.9</v>
      </c>
      <c r="H810" s="27">
        <v>0</v>
      </c>
      <c r="J810" s="27">
        <v>152008.9</v>
      </c>
      <c r="K810" s="25">
        <f t="shared" si="12"/>
        <v>152008.9</v>
      </c>
    </row>
    <row r="811" spans="1:12" ht="27.95" customHeight="1" x14ac:dyDescent="0.2">
      <c r="A811" s="26" t="s">
        <v>1359</v>
      </c>
      <c r="B811" s="369" t="s">
        <v>1360</v>
      </c>
      <c r="C811" s="370"/>
      <c r="D811" s="370"/>
      <c r="E811" s="27">
        <v>0</v>
      </c>
      <c r="F811" s="27">
        <v>11889.12</v>
      </c>
      <c r="H811" s="27">
        <v>325.02999999999997</v>
      </c>
      <c r="J811" s="27">
        <v>11564.09</v>
      </c>
      <c r="K811" s="25">
        <f t="shared" si="12"/>
        <v>11564.09</v>
      </c>
    </row>
    <row r="812" spans="1:12" ht="15.95" customHeight="1" x14ac:dyDescent="0.2">
      <c r="A812" s="28" t="s">
        <v>1361</v>
      </c>
      <c r="B812" s="371" t="s">
        <v>1362</v>
      </c>
      <c r="C812" s="372"/>
      <c r="D812" s="372"/>
      <c r="E812" s="29">
        <v>0</v>
      </c>
      <c r="F812" s="29">
        <v>1131947.8899999999</v>
      </c>
      <c r="G812" s="30"/>
      <c r="H812" s="29">
        <v>0</v>
      </c>
      <c r="I812" s="30"/>
      <c r="J812" s="29">
        <v>1131947.8899999999</v>
      </c>
      <c r="K812" s="31">
        <f t="shared" si="12"/>
        <v>1131947.8899999999</v>
      </c>
    </row>
    <row r="813" spans="1:12" ht="15.95" customHeight="1" x14ac:dyDescent="0.2">
      <c r="A813" s="28" t="s">
        <v>1363</v>
      </c>
      <c r="B813" s="371" t="s">
        <v>1364</v>
      </c>
      <c r="C813" s="372"/>
      <c r="D813" s="372"/>
      <c r="E813" s="29">
        <v>0</v>
      </c>
      <c r="F813" s="29">
        <v>628297.85</v>
      </c>
      <c r="G813" s="30"/>
      <c r="H813" s="29">
        <v>0</v>
      </c>
      <c r="I813" s="30"/>
      <c r="J813" s="29">
        <v>628297.85</v>
      </c>
      <c r="K813" s="31">
        <f t="shared" si="12"/>
        <v>628297.85</v>
      </c>
      <c r="L813" s="25">
        <f>K813+K812+K731</f>
        <v>7716575.3699999992</v>
      </c>
    </row>
    <row r="814" spans="1:12" ht="15.95" customHeight="1" x14ac:dyDescent="0.2">
      <c r="A814" s="26" t="s">
        <v>1365</v>
      </c>
      <c r="B814" s="369" t="s">
        <v>1366</v>
      </c>
      <c r="C814" s="370"/>
      <c r="D814" s="370"/>
      <c r="E814" s="27">
        <v>0</v>
      </c>
      <c r="F814" s="27">
        <v>12565.32</v>
      </c>
      <c r="H814" s="27">
        <v>0</v>
      </c>
      <c r="J814" s="27">
        <v>12565.32</v>
      </c>
      <c r="K814" s="25">
        <f t="shared" si="12"/>
        <v>12565.32</v>
      </c>
    </row>
    <row r="815" spans="1:12" ht="15.95" customHeight="1" x14ac:dyDescent="0.2">
      <c r="A815" s="26" t="s">
        <v>1367</v>
      </c>
      <c r="B815" s="369" t="s">
        <v>1368</v>
      </c>
      <c r="C815" s="370"/>
      <c r="D815" s="370"/>
      <c r="E815" s="27">
        <v>0</v>
      </c>
      <c r="F815" s="27">
        <v>22482.48</v>
      </c>
      <c r="H815" s="27">
        <v>0</v>
      </c>
      <c r="J815" s="27">
        <v>22482.48</v>
      </c>
      <c r="K815" s="25">
        <f t="shared" si="12"/>
        <v>22482.48</v>
      </c>
    </row>
    <row r="816" spans="1:12" ht="15.95" customHeight="1" x14ac:dyDescent="0.2">
      <c r="A816" s="26" t="s">
        <v>1369</v>
      </c>
      <c r="B816" s="369" t="s">
        <v>1370</v>
      </c>
      <c r="C816" s="370"/>
      <c r="D816" s="370"/>
      <c r="E816" s="27">
        <v>0</v>
      </c>
      <c r="F816" s="27">
        <v>84</v>
      </c>
      <c r="H816" s="27">
        <v>0</v>
      </c>
      <c r="J816" s="27">
        <v>84</v>
      </c>
      <c r="K816" s="25">
        <f t="shared" si="12"/>
        <v>84</v>
      </c>
    </row>
    <row r="817" spans="1:11" ht="15.95" customHeight="1" x14ac:dyDescent="0.2">
      <c r="A817" s="26" t="s">
        <v>1371</v>
      </c>
      <c r="B817" s="369" t="s">
        <v>1372</v>
      </c>
      <c r="C817" s="370"/>
      <c r="D817" s="370"/>
      <c r="E817" s="27">
        <v>0</v>
      </c>
      <c r="F817" s="27">
        <v>6776.8</v>
      </c>
      <c r="H817" s="27">
        <v>0</v>
      </c>
      <c r="J817" s="27">
        <v>6776.8</v>
      </c>
      <c r="K817" s="25">
        <f t="shared" si="12"/>
        <v>6776.8</v>
      </c>
    </row>
    <row r="818" spans="1:11" ht="15.95" customHeight="1" x14ac:dyDescent="0.2">
      <c r="A818" s="26" t="s">
        <v>1373</v>
      </c>
      <c r="B818" s="369" t="s">
        <v>202</v>
      </c>
      <c r="C818" s="370"/>
      <c r="D818" s="370"/>
      <c r="E818" s="27">
        <v>0</v>
      </c>
      <c r="F818" s="27">
        <v>46352.14</v>
      </c>
      <c r="H818" s="27">
        <v>0</v>
      </c>
      <c r="J818" s="27">
        <v>46352.14</v>
      </c>
      <c r="K818" s="25">
        <f t="shared" si="12"/>
        <v>46352.14</v>
      </c>
    </row>
    <row r="819" spans="1:11" ht="15.95" customHeight="1" x14ac:dyDescent="0.2">
      <c r="A819" s="26" t="s">
        <v>1374</v>
      </c>
      <c r="B819" s="369" t="s">
        <v>1375</v>
      </c>
      <c r="C819" s="370"/>
      <c r="D819" s="370"/>
      <c r="E819" s="27">
        <v>0</v>
      </c>
      <c r="F819" s="27">
        <v>26233.61</v>
      </c>
      <c r="H819" s="27">
        <v>29.24</v>
      </c>
      <c r="J819" s="27">
        <v>26204.37</v>
      </c>
      <c r="K819" s="25">
        <f t="shared" si="12"/>
        <v>26204.37</v>
      </c>
    </row>
    <row r="820" spans="1:11" ht="15.95" customHeight="1" x14ac:dyDescent="0.2">
      <c r="A820" s="26" t="s">
        <v>1376</v>
      </c>
      <c r="B820" s="369" t="s">
        <v>1377</v>
      </c>
      <c r="C820" s="370"/>
      <c r="D820" s="370"/>
      <c r="E820" s="27">
        <v>0</v>
      </c>
      <c r="F820" s="27">
        <v>394</v>
      </c>
      <c r="H820" s="27">
        <v>0</v>
      </c>
      <c r="J820" s="27">
        <v>394</v>
      </c>
      <c r="K820" s="25">
        <f t="shared" si="12"/>
        <v>394</v>
      </c>
    </row>
    <row r="821" spans="1:11" ht="15.95" customHeight="1" x14ac:dyDescent="0.2">
      <c r="A821" s="26">
        <v>59</v>
      </c>
      <c r="B821" s="369" t="s">
        <v>1378</v>
      </c>
      <c r="C821" s="370"/>
      <c r="D821" s="370"/>
      <c r="E821" s="27">
        <v>0</v>
      </c>
      <c r="F821" s="27">
        <v>1949585.44</v>
      </c>
      <c r="H821" s="27">
        <v>273609.46000000002</v>
      </c>
      <c r="J821" s="27">
        <v>1675975.98</v>
      </c>
      <c r="K821" s="25">
        <f t="shared" si="12"/>
        <v>1675975.98</v>
      </c>
    </row>
    <row r="822" spans="1:11" ht="15.95" customHeight="1" x14ac:dyDescent="0.2">
      <c r="A822" s="26">
        <v>591</v>
      </c>
      <c r="B822" s="369" t="s">
        <v>1379</v>
      </c>
      <c r="C822" s="370"/>
      <c r="D822" s="370"/>
      <c r="E822" s="27">
        <v>0</v>
      </c>
      <c r="F822" s="27">
        <v>1949585.44</v>
      </c>
      <c r="H822" s="27">
        <v>273609.46000000002</v>
      </c>
      <c r="J822" s="27">
        <v>1675975.98</v>
      </c>
      <c r="K822" s="25">
        <f t="shared" si="12"/>
        <v>1675975.98</v>
      </c>
    </row>
    <row r="823" spans="1:11" ht="15.95" customHeight="1" x14ac:dyDescent="0.2">
      <c r="A823" s="26">
        <v>59101</v>
      </c>
      <c r="B823" s="369" t="s">
        <v>1380</v>
      </c>
      <c r="C823" s="370"/>
      <c r="D823" s="370"/>
      <c r="E823" s="27">
        <v>0</v>
      </c>
      <c r="F823" s="27">
        <v>1949585.44</v>
      </c>
      <c r="H823" s="27">
        <v>0</v>
      </c>
      <c r="J823" s="27">
        <v>1949585.44</v>
      </c>
      <c r="K823" s="25">
        <f t="shared" si="12"/>
        <v>1949585.44</v>
      </c>
    </row>
    <row r="824" spans="1:11" ht="15.95" customHeight="1" x14ac:dyDescent="0.2">
      <c r="A824" s="26">
        <v>5910101</v>
      </c>
      <c r="B824" s="369" t="s">
        <v>1380</v>
      </c>
      <c r="C824" s="370"/>
      <c r="D824" s="370"/>
      <c r="E824" s="27">
        <v>0</v>
      </c>
      <c r="F824" s="27">
        <v>1949585.44</v>
      </c>
      <c r="H824" s="27">
        <v>0</v>
      </c>
      <c r="J824" s="27">
        <v>1949585.44</v>
      </c>
      <c r="K824" s="25">
        <f t="shared" si="12"/>
        <v>1949585.44</v>
      </c>
    </row>
    <row r="825" spans="1:11" ht="15.95" customHeight="1" x14ac:dyDescent="0.2">
      <c r="A825" s="26" t="s">
        <v>1383</v>
      </c>
      <c r="B825" s="369" t="s">
        <v>1384</v>
      </c>
      <c r="C825" s="370"/>
      <c r="D825" s="370"/>
      <c r="E825" s="27">
        <v>0</v>
      </c>
      <c r="F825" s="27">
        <v>215724.78</v>
      </c>
      <c r="H825" s="27">
        <v>0</v>
      </c>
      <c r="J825" s="27">
        <v>215724.78</v>
      </c>
      <c r="K825" s="25">
        <f t="shared" si="12"/>
        <v>215724.78</v>
      </c>
    </row>
    <row r="826" spans="1:11" ht="15.95" customHeight="1" x14ac:dyDescent="0.2">
      <c r="A826" s="26" t="s">
        <v>1385</v>
      </c>
      <c r="B826" s="369" t="s">
        <v>1386</v>
      </c>
      <c r="C826" s="370"/>
      <c r="D826" s="370"/>
      <c r="E826" s="27">
        <v>0</v>
      </c>
      <c r="F826" s="27">
        <v>132902.42000000001</v>
      </c>
      <c r="H826" s="27">
        <v>0</v>
      </c>
      <c r="J826" s="27">
        <v>132902.42000000001</v>
      </c>
      <c r="K826" s="25">
        <f t="shared" si="12"/>
        <v>132902.42000000001</v>
      </c>
    </row>
    <row r="827" spans="1:11" ht="15.95" customHeight="1" x14ac:dyDescent="0.2">
      <c r="A827" s="26" t="s">
        <v>1387</v>
      </c>
      <c r="B827" s="369" t="s">
        <v>1388</v>
      </c>
      <c r="C827" s="370"/>
      <c r="D827" s="370"/>
      <c r="E827" s="27">
        <v>0</v>
      </c>
      <c r="F827" s="27">
        <v>11928.01</v>
      </c>
      <c r="H827" s="27">
        <v>0</v>
      </c>
      <c r="J827" s="27">
        <v>11928.01</v>
      </c>
      <c r="K827" s="25">
        <f t="shared" si="12"/>
        <v>11928.01</v>
      </c>
    </row>
    <row r="828" spans="1:11" ht="15.95" customHeight="1" x14ac:dyDescent="0.2">
      <c r="A828" s="26" t="s">
        <v>1389</v>
      </c>
      <c r="B828" s="369" t="s">
        <v>1390</v>
      </c>
      <c r="C828" s="370"/>
      <c r="D828" s="370"/>
      <c r="E828" s="27">
        <v>0</v>
      </c>
      <c r="F828" s="27">
        <v>1586034.23</v>
      </c>
      <c r="H828" s="27">
        <v>0</v>
      </c>
      <c r="J828" s="27">
        <v>1586034.23</v>
      </c>
      <c r="K828" s="25">
        <f t="shared" si="12"/>
        <v>1586034.23</v>
      </c>
    </row>
    <row r="829" spans="1:11" ht="15.95" customHeight="1" x14ac:dyDescent="0.2">
      <c r="A829" s="26" t="s">
        <v>1631</v>
      </c>
      <c r="B829" s="369" t="s">
        <v>1632</v>
      </c>
      <c r="C829" s="370"/>
      <c r="D829" s="370"/>
      <c r="E829" s="27">
        <v>0</v>
      </c>
      <c r="F829" s="27">
        <v>2996</v>
      </c>
      <c r="H829" s="27">
        <v>0</v>
      </c>
      <c r="J829" s="27">
        <v>2996</v>
      </c>
      <c r="K829" s="25">
        <f t="shared" si="12"/>
        <v>2996</v>
      </c>
    </row>
    <row r="830" spans="1:11" ht="15.95" customHeight="1" x14ac:dyDescent="0.2">
      <c r="A830" s="26">
        <v>59102</v>
      </c>
      <c r="B830" s="369" t="s">
        <v>1391</v>
      </c>
      <c r="C830" s="370"/>
      <c r="D830" s="370"/>
      <c r="E830" s="27">
        <v>0</v>
      </c>
      <c r="F830" s="27">
        <v>0</v>
      </c>
      <c r="H830" s="27">
        <v>273609.46000000002</v>
      </c>
      <c r="J830" s="27">
        <v>-273609.46000000002</v>
      </c>
      <c r="K830" s="25">
        <f t="shared" si="12"/>
        <v>-273609.46000000002</v>
      </c>
    </row>
    <row r="831" spans="1:11" ht="15.95" customHeight="1" x14ac:dyDescent="0.2">
      <c r="A831" s="26">
        <v>5910201</v>
      </c>
      <c r="B831" s="369" t="s">
        <v>1391</v>
      </c>
      <c r="C831" s="370"/>
      <c r="D831" s="370"/>
      <c r="E831" s="27">
        <v>0</v>
      </c>
      <c r="F831" s="27">
        <v>0</v>
      </c>
      <c r="H831" s="27">
        <v>273609.46000000002</v>
      </c>
      <c r="J831" s="27">
        <v>-273609.46000000002</v>
      </c>
      <c r="K831" s="25">
        <f t="shared" si="12"/>
        <v>-273609.46000000002</v>
      </c>
    </row>
    <row r="832" spans="1:11" ht="15.95" customHeight="1" x14ac:dyDescent="0.2">
      <c r="A832" s="26" t="s">
        <v>1574</v>
      </c>
      <c r="B832" s="369" t="s">
        <v>1575</v>
      </c>
      <c r="C832" s="370"/>
      <c r="D832" s="370"/>
      <c r="E832" s="27">
        <v>0</v>
      </c>
      <c r="F832" s="27">
        <v>0</v>
      </c>
      <c r="H832" s="27">
        <v>72.010000000000005</v>
      </c>
      <c r="J832" s="27">
        <v>-72.010000000000005</v>
      </c>
      <c r="K832" s="25">
        <f t="shared" si="12"/>
        <v>-72.010000000000005</v>
      </c>
    </row>
    <row r="833" spans="1:11" ht="15.95" customHeight="1" x14ac:dyDescent="0.2">
      <c r="A833" s="26" t="s">
        <v>1392</v>
      </c>
      <c r="B833" s="369" t="s">
        <v>1393</v>
      </c>
      <c r="C833" s="370"/>
      <c r="D833" s="370"/>
      <c r="E833" s="27">
        <v>0</v>
      </c>
      <c r="F833" s="27">
        <v>0</v>
      </c>
      <c r="H833" s="27">
        <v>192128.17</v>
      </c>
      <c r="J833" s="27">
        <v>-192128.17</v>
      </c>
      <c r="K833" s="25">
        <f t="shared" si="12"/>
        <v>-192128.17</v>
      </c>
    </row>
    <row r="834" spans="1:11" ht="15.95" customHeight="1" x14ac:dyDescent="0.2">
      <c r="A834" s="26" t="s">
        <v>1576</v>
      </c>
      <c r="B834" s="369" t="s">
        <v>1577</v>
      </c>
      <c r="C834" s="370"/>
      <c r="D834" s="370"/>
      <c r="E834" s="27">
        <v>0</v>
      </c>
      <c r="F834" s="27">
        <v>0</v>
      </c>
      <c r="H834" s="27">
        <v>938.87</v>
      </c>
      <c r="J834" s="27">
        <v>-938.87</v>
      </c>
      <c r="K834" s="25">
        <f t="shared" si="12"/>
        <v>-938.87</v>
      </c>
    </row>
    <row r="835" spans="1:11" ht="15.95" customHeight="1" x14ac:dyDescent="0.2">
      <c r="A835" s="26" t="s">
        <v>1394</v>
      </c>
      <c r="B835" s="369" t="s">
        <v>1395</v>
      </c>
      <c r="C835" s="370"/>
      <c r="D835" s="370"/>
      <c r="E835" s="27">
        <v>0</v>
      </c>
      <c r="F835" s="27">
        <v>0</v>
      </c>
      <c r="H835" s="27">
        <v>65333.75</v>
      </c>
      <c r="J835" s="27">
        <v>-65333.75</v>
      </c>
      <c r="K835" s="25">
        <f t="shared" ref="K835:K867" si="13">J835-E835</f>
        <v>-65333.75</v>
      </c>
    </row>
    <row r="836" spans="1:11" ht="15.95" customHeight="1" x14ac:dyDescent="0.2">
      <c r="A836" s="26" t="s">
        <v>1396</v>
      </c>
      <c r="B836" s="369" t="s">
        <v>1397</v>
      </c>
      <c r="C836" s="370"/>
      <c r="D836" s="370"/>
      <c r="E836" s="27">
        <v>0</v>
      </c>
      <c r="F836" s="27">
        <v>0</v>
      </c>
      <c r="H836" s="27">
        <v>14402.04</v>
      </c>
      <c r="J836" s="27">
        <v>-14402.04</v>
      </c>
      <c r="K836" s="25">
        <f t="shared" si="13"/>
        <v>-14402.04</v>
      </c>
    </row>
    <row r="837" spans="1:11" ht="15.95" customHeight="1" x14ac:dyDescent="0.2">
      <c r="A837" s="26" t="s">
        <v>1578</v>
      </c>
      <c r="B837" s="369" t="s">
        <v>1579</v>
      </c>
      <c r="C837" s="370"/>
      <c r="D837" s="370"/>
      <c r="E837" s="27">
        <v>0</v>
      </c>
      <c r="F837" s="27">
        <v>0</v>
      </c>
      <c r="H837" s="27">
        <v>734.62</v>
      </c>
      <c r="J837" s="27">
        <v>-734.62</v>
      </c>
      <c r="K837" s="25">
        <f t="shared" si="13"/>
        <v>-734.62</v>
      </c>
    </row>
    <row r="838" spans="1:11" ht="15.95" customHeight="1" x14ac:dyDescent="0.2">
      <c r="A838" s="26">
        <v>6</v>
      </c>
      <c r="B838" s="369" t="s">
        <v>1400</v>
      </c>
      <c r="C838" s="370"/>
      <c r="D838" s="370"/>
      <c r="E838" s="27">
        <v>0</v>
      </c>
      <c r="F838" s="27">
        <v>294386.75</v>
      </c>
      <c r="H838" s="27">
        <v>539407.93999999994</v>
      </c>
      <c r="J838" s="27">
        <v>-245021.19</v>
      </c>
      <c r="K838" s="25">
        <f t="shared" si="13"/>
        <v>-245021.19</v>
      </c>
    </row>
    <row r="839" spans="1:11" ht="15.95" customHeight="1" x14ac:dyDescent="0.2">
      <c r="A839" s="26">
        <v>62</v>
      </c>
      <c r="B839" s="369" t="s">
        <v>1401</v>
      </c>
      <c r="C839" s="370"/>
      <c r="D839" s="370"/>
      <c r="E839" s="27">
        <v>0</v>
      </c>
      <c r="F839" s="27">
        <v>294386.75</v>
      </c>
      <c r="H839" s="27">
        <v>539407.93999999994</v>
      </c>
      <c r="J839" s="27">
        <v>-245021.19</v>
      </c>
      <c r="K839" s="25">
        <f t="shared" si="13"/>
        <v>-245021.19</v>
      </c>
    </row>
    <row r="840" spans="1:11" ht="15.95" customHeight="1" x14ac:dyDescent="0.2">
      <c r="A840" s="26">
        <v>621</v>
      </c>
      <c r="B840" s="369" t="s">
        <v>1402</v>
      </c>
      <c r="C840" s="370"/>
      <c r="D840" s="370"/>
      <c r="E840" s="27">
        <v>0</v>
      </c>
      <c r="F840" s="27">
        <v>0</v>
      </c>
      <c r="H840" s="27">
        <v>256268.08</v>
      </c>
      <c r="J840" s="27">
        <v>-256268.08</v>
      </c>
      <c r="K840" s="25">
        <f t="shared" si="13"/>
        <v>-256268.08</v>
      </c>
    </row>
    <row r="841" spans="1:11" ht="15.95" customHeight="1" x14ac:dyDescent="0.2">
      <c r="A841" s="26">
        <v>62101</v>
      </c>
      <c r="B841" s="369" t="s">
        <v>1403</v>
      </c>
      <c r="C841" s="370"/>
      <c r="D841" s="370"/>
      <c r="E841" s="27">
        <v>0</v>
      </c>
      <c r="F841" s="27">
        <v>0</v>
      </c>
      <c r="H841" s="27">
        <v>256268.08</v>
      </c>
      <c r="J841" s="27">
        <v>-256268.08</v>
      </c>
      <c r="K841" s="25">
        <f t="shared" si="13"/>
        <v>-256268.08</v>
      </c>
    </row>
    <row r="842" spans="1:11" ht="15.95" customHeight="1" x14ac:dyDescent="0.2">
      <c r="A842" s="26">
        <v>6210101</v>
      </c>
      <c r="B842" s="369" t="s">
        <v>1404</v>
      </c>
      <c r="C842" s="370"/>
      <c r="D842" s="370"/>
      <c r="E842" s="27">
        <v>0</v>
      </c>
      <c r="F842" s="27">
        <v>0</v>
      </c>
      <c r="H842" s="27">
        <v>256268.08</v>
      </c>
      <c r="J842" s="27">
        <v>-256268.08</v>
      </c>
      <c r="K842" s="25">
        <f t="shared" si="13"/>
        <v>-256268.08</v>
      </c>
    </row>
    <row r="843" spans="1:11" ht="15.95" customHeight="1" x14ac:dyDescent="0.2">
      <c r="A843" s="26" t="s">
        <v>1405</v>
      </c>
      <c r="B843" s="369" t="s">
        <v>1406</v>
      </c>
      <c r="C843" s="370"/>
      <c r="D843" s="370"/>
      <c r="E843" s="27">
        <v>0</v>
      </c>
      <c r="F843" s="27">
        <v>0</v>
      </c>
      <c r="H843" s="27">
        <v>25624.15</v>
      </c>
      <c r="J843" s="27">
        <v>-25624.15</v>
      </c>
      <c r="K843" s="25">
        <f t="shared" si="13"/>
        <v>-25624.15</v>
      </c>
    </row>
    <row r="844" spans="1:11" ht="15.95" customHeight="1" x14ac:dyDescent="0.2">
      <c r="A844" s="26" t="s">
        <v>1580</v>
      </c>
      <c r="B844" s="369" t="s">
        <v>1581</v>
      </c>
      <c r="C844" s="370"/>
      <c r="D844" s="370"/>
      <c r="E844" s="27">
        <v>0</v>
      </c>
      <c r="F844" s="27">
        <v>0</v>
      </c>
      <c r="H844" s="27">
        <v>42706.09</v>
      </c>
      <c r="J844" s="27">
        <v>-42706.09</v>
      </c>
      <c r="K844" s="25">
        <f t="shared" si="13"/>
        <v>-42706.09</v>
      </c>
    </row>
    <row r="845" spans="1:11" ht="15.95" customHeight="1" x14ac:dyDescent="0.2">
      <c r="A845" s="26" t="s">
        <v>1407</v>
      </c>
      <c r="B845" s="369" t="s">
        <v>1403</v>
      </c>
      <c r="C845" s="370"/>
      <c r="D845" s="370"/>
      <c r="E845" s="27">
        <v>0</v>
      </c>
      <c r="F845" s="27">
        <v>0</v>
      </c>
      <c r="H845" s="27">
        <v>142915.19</v>
      </c>
      <c r="J845" s="27">
        <v>-142915.19</v>
      </c>
      <c r="K845" s="25">
        <f t="shared" si="13"/>
        <v>-142915.19</v>
      </c>
    </row>
    <row r="846" spans="1:11" ht="15.95" customHeight="1" x14ac:dyDescent="0.2">
      <c r="A846" s="26" t="s">
        <v>1582</v>
      </c>
      <c r="B846" s="369" t="s">
        <v>1583</v>
      </c>
      <c r="C846" s="370"/>
      <c r="D846" s="370"/>
      <c r="E846" s="27">
        <v>0</v>
      </c>
      <c r="F846" s="27">
        <v>0</v>
      </c>
      <c r="H846" s="27">
        <v>45022.65</v>
      </c>
      <c r="J846" s="27">
        <v>-45022.65</v>
      </c>
      <c r="K846" s="25">
        <f t="shared" si="13"/>
        <v>-45022.65</v>
      </c>
    </row>
    <row r="847" spans="1:11" ht="15.95" customHeight="1" x14ac:dyDescent="0.2">
      <c r="A847" s="26">
        <v>624</v>
      </c>
      <c r="B847" s="369" t="s">
        <v>1410</v>
      </c>
      <c r="C847" s="370"/>
      <c r="D847" s="370"/>
      <c r="E847" s="27">
        <v>0</v>
      </c>
      <c r="F847" s="27">
        <v>114901.16</v>
      </c>
      <c r="H847" s="27">
        <v>178092.19</v>
      </c>
      <c r="J847" s="27">
        <v>-63191.03</v>
      </c>
      <c r="K847" s="25">
        <f t="shared" si="13"/>
        <v>-63191.03</v>
      </c>
    </row>
    <row r="848" spans="1:11" ht="15.95" customHeight="1" x14ac:dyDescent="0.2">
      <c r="A848" s="26">
        <v>62401</v>
      </c>
      <c r="B848" s="369" t="s">
        <v>1410</v>
      </c>
      <c r="C848" s="370"/>
      <c r="D848" s="370"/>
      <c r="E848" s="27">
        <v>0</v>
      </c>
      <c r="F848" s="27">
        <v>114901.16</v>
      </c>
      <c r="H848" s="27">
        <v>178092.19</v>
      </c>
      <c r="J848" s="27">
        <v>-63191.03</v>
      </c>
      <c r="K848" s="25">
        <f t="shared" si="13"/>
        <v>-63191.03</v>
      </c>
    </row>
    <row r="849" spans="1:11" ht="15.95" customHeight="1" x14ac:dyDescent="0.2">
      <c r="A849" s="26">
        <v>6240101</v>
      </c>
      <c r="B849" s="369" t="s">
        <v>1410</v>
      </c>
      <c r="C849" s="370"/>
      <c r="D849" s="370"/>
      <c r="E849" s="27">
        <v>0</v>
      </c>
      <c r="F849" s="27">
        <v>114901.16</v>
      </c>
      <c r="H849" s="27">
        <v>178092.19</v>
      </c>
      <c r="J849" s="27">
        <v>-63191.03</v>
      </c>
      <c r="K849" s="25">
        <f t="shared" si="13"/>
        <v>-63191.03</v>
      </c>
    </row>
    <row r="850" spans="1:11" ht="15.95" customHeight="1" x14ac:dyDescent="0.2">
      <c r="A850" s="26" t="s">
        <v>1584</v>
      </c>
      <c r="B850" s="369" t="s">
        <v>1585</v>
      </c>
      <c r="C850" s="370"/>
      <c r="D850" s="370"/>
      <c r="E850" s="27">
        <v>0</v>
      </c>
      <c r="F850" s="27">
        <v>114901.16</v>
      </c>
      <c r="H850" s="27">
        <v>178092.19</v>
      </c>
      <c r="J850" s="27">
        <v>-63191.03</v>
      </c>
      <c r="K850" s="25">
        <f t="shared" si="13"/>
        <v>-63191.03</v>
      </c>
    </row>
    <row r="851" spans="1:11" ht="15.95" customHeight="1" x14ac:dyDescent="0.2">
      <c r="A851" s="26">
        <v>625</v>
      </c>
      <c r="B851" s="369" t="s">
        <v>1413</v>
      </c>
      <c r="C851" s="370"/>
      <c r="D851" s="370"/>
      <c r="E851" s="27">
        <v>0</v>
      </c>
      <c r="F851" s="27">
        <v>179485.59</v>
      </c>
      <c r="H851" s="27">
        <v>105047.67</v>
      </c>
      <c r="J851" s="27">
        <v>74437.919999999998</v>
      </c>
      <c r="K851" s="25">
        <f t="shared" si="13"/>
        <v>74437.919999999998</v>
      </c>
    </row>
    <row r="852" spans="1:11" ht="15.95" customHeight="1" x14ac:dyDescent="0.2">
      <c r="A852" s="26">
        <v>62501</v>
      </c>
      <c r="B852" s="369" t="s">
        <v>1413</v>
      </c>
      <c r="C852" s="370"/>
      <c r="D852" s="370"/>
      <c r="E852" s="27">
        <v>0</v>
      </c>
      <c r="F852" s="27">
        <v>179485.59</v>
      </c>
      <c r="H852" s="27">
        <v>105047.67</v>
      </c>
      <c r="J852" s="27">
        <v>74437.919999999998</v>
      </c>
      <c r="K852" s="25">
        <f t="shared" si="13"/>
        <v>74437.919999999998</v>
      </c>
    </row>
    <row r="853" spans="1:11" ht="15.95" customHeight="1" x14ac:dyDescent="0.2">
      <c r="A853" s="26">
        <v>6250101</v>
      </c>
      <c r="B853" s="369" t="s">
        <v>1414</v>
      </c>
      <c r="C853" s="370"/>
      <c r="D853" s="370"/>
      <c r="E853" s="27">
        <v>0</v>
      </c>
      <c r="F853" s="27">
        <v>179485.59</v>
      </c>
      <c r="H853" s="27">
        <v>105047.67</v>
      </c>
      <c r="J853" s="27">
        <v>74437.919999999998</v>
      </c>
      <c r="K853" s="25">
        <f t="shared" si="13"/>
        <v>74437.919999999998</v>
      </c>
    </row>
    <row r="854" spans="1:11" ht="15.95" customHeight="1" x14ac:dyDescent="0.2">
      <c r="A854" s="26" t="s">
        <v>1415</v>
      </c>
      <c r="B854" s="369" t="s">
        <v>1416</v>
      </c>
      <c r="C854" s="370"/>
      <c r="D854" s="370"/>
      <c r="E854" s="27">
        <v>0</v>
      </c>
      <c r="F854" s="27">
        <v>169755.62</v>
      </c>
      <c r="H854" s="27">
        <v>105047.67</v>
      </c>
      <c r="J854" s="27">
        <v>64707.95</v>
      </c>
      <c r="K854" s="25">
        <f t="shared" si="13"/>
        <v>64707.95</v>
      </c>
    </row>
    <row r="855" spans="1:11" ht="15.95" customHeight="1" x14ac:dyDescent="0.2">
      <c r="A855" s="26" t="s">
        <v>1417</v>
      </c>
      <c r="B855" s="369" t="s">
        <v>1418</v>
      </c>
      <c r="C855" s="370"/>
      <c r="D855" s="370"/>
      <c r="E855" s="27">
        <v>0</v>
      </c>
      <c r="F855" s="27">
        <v>9729.9699999999993</v>
      </c>
      <c r="H855" s="27">
        <v>0</v>
      </c>
      <c r="J855" s="27">
        <v>9729.9699999999993</v>
      </c>
      <c r="K855" s="25">
        <f t="shared" si="13"/>
        <v>9729.9699999999993</v>
      </c>
    </row>
    <row r="856" spans="1:11" ht="15.95" customHeight="1" x14ac:dyDescent="0.2">
      <c r="A856" s="28">
        <v>7</v>
      </c>
      <c r="B856" s="371" t="s">
        <v>1586</v>
      </c>
      <c r="C856" s="372"/>
      <c r="D856" s="372"/>
      <c r="E856" s="29">
        <v>0</v>
      </c>
      <c r="F856" s="29">
        <v>5663856.9400000004</v>
      </c>
      <c r="G856" s="30"/>
      <c r="H856" s="29">
        <v>1113623.3999999999</v>
      </c>
      <c r="I856" s="30"/>
      <c r="J856" s="29">
        <v>4550233.54</v>
      </c>
      <c r="K856" s="31">
        <f t="shared" si="13"/>
        <v>4550233.54</v>
      </c>
    </row>
    <row r="857" spans="1:11" ht="15.95" customHeight="1" x14ac:dyDescent="0.2">
      <c r="A857" s="26">
        <v>71</v>
      </c>
      <c r="B857" s="369" t="s">
        <v>1586</v>
      </c>
      <c r="C857" s="370"/>
      <c r="D857" s="370"/>
      <c r="E857" s="27">
        <v>0</v>
      </c>
      <c r="F857" s="27">
        <v>5663856.9400000004</v>
      </c>
      <c r="H857" s="27">
        <v>1113623.3999999999</v>
      </c>
      <c r="J857" s="27">
        <v>4550233.54</v>
      </c>
      <c r="K857" s="25">
        <f t="shared" si="13"/>
        <v>4550233.54</v>
      </c>
    </row>
    <row r="858" spans="1:11" ht="15.95" customHeight="1" x14ac:dyDescent="0.2">
      <c r="A858" s="26">
        <v>712</v>
      </c>
      <c r="B858" s="369" t="s">
        <v>1587</v>
      </c>
      <c r="C858" s="370"/>
      <c r="D858" s="370"/>
      <c r="E858" s="27">
        <v>0</v>
      </c>
      <c r="F858" s="27">
        <v>5663856.9400000004</v>
      </c>
      <c r="H858" s="27">
        <v>1113623.3999999999</v>
      </c>
      <c r="J858" s="27">
        <v>4550233.54</v>
      </c>
      <c r="K858" s="25">
        <f t="shared" si="13"/>
        <v>4550233.54</v>
      </c>
    </row>
    <row r="859" spans="1:11" ht="15.95" customHeight="1" x14ac:dyDescent="0.2">
      <c r="A859" s="26">
        <v>71201</v>
      </c>
      <c r="B859" s="369" t="s">
        <v>1588</v>
      </c>
      <c r="C859" s="370"/>
      <c r="D859" s="370"/>
      <c r="E859" s="27">
        <v>0</v>
      </c>
      <c r="F859" s="27">
        <v>5663856.9400000004</v>
      </c>
      <c r="H859" s="27">
        <v>1113623.3999999999</v>
      </c>
      <c r="J859" s="27">
        <v>4550233.54</v>
      </c>
      <c r="K859" s="25">
        <f t="shared" si="13"/>
        <v>4550233.54</v>
      </c>
    </row>
    <row r="860" spans="1:11" ht="15.95" customHeight="1" x14ac:dyDescent="0.2">
      <c r="A860" s="26">
        <v>7120101</v>
      </c>
      <c r="B860" s="369" t="s">
        <v>1588</v>
      </c>
      <c r="C860" s="370"/>
      <c r="D860" s="370"/>
      <c r="E860" s="27">
        <v>0</v>
      </c>
      <c r="F860" s="27">
        <v>5663856.9400000004</v>
      </c>
      <c r="H860" s="27">
        <v>1113623.3999999999</v>
      </c>
      <c r="J860" s="27">
        <v>4550233.54</v>
      </c>
      <c r="K860" s="25">
        <f t="shared" si="13"/>
        <v>4550233.54</v>
      </c>
    </row>
    <row r="861" spans="1:11" ht="15.95" customHeight="1" x14ac:dyDescent="0.2">
      <c r="A861" s="26" t="s">
        <v>1589</v>
      </c>
      <c r="B861" s="369" t="s">
        <v>1590</v>
      </c>
      <c r="C861" s="370"/>
      <c r="D861" s="370"/>
      <c r="E861" s="27">
        <v>0</v>
      </c>
      <c r="F861" s="27">
        <v>5663856.9400000004</v>
      </c>
      <c r="H861" s="27">
        <v>1113623.3999999999</v>
      </c>
      <c r="J861" s="27">
        <v>4550233.54</v>
      </c>
      <c r="K861" s="25">
        <f t="shared" si="13"/>
        <v>4550233.54</v>
      </c>
    </row>
    <row r="862" spans="1:11" ht="15.95" customHeight="1" x14ac:dyDescent="0.2">
      <c r="A862" s="26">
        <v>9</v>
      </c>
      <c r="B862" s="369" t="s">
        <v>1419</v>
      </c>
      <c r="C862" s="370"/>
      <c r="D862" s="370"/>
      <c r="E862" s="27">
        <v>0</v>
      </c>
      <c r="F862" s="27">
        <v>0</v>
      </c>
      <c r="H862" s="27">
        <v>16295158.73</v>
      </c>
      <c r="J862" s="27">
        <v>-16295158.73</v>
      </c>
      <c r="K862" s="25">
        <f t="shared" si="13"/>
        <v>-16295158.73</v>
      </c>
    </row>
    <row r="863" spans="1:11" ht="15.95" customHeight="1" x14ac:dyDescent="0.2">
      <c r="A863" s="26">
        <v>91</v>
      </c>
      <c r="B863" s="369" t="s">
        <v>1420</v>
      </c>
      <c r="C863" s="370"/>
      <c r="D863" s="370"/>
      <c r="E863" s="27">
        <v>0</v>
      </c>
      <c r="F863" s="27">
        <v>0</v>
      </c>
      <c r="H863" s="27">
        <v>16295158.73</v>
      </c>
      <c r="J863" s="27">
        <v>-16295158.73</v>
      </c>
      <c r="K863" s="25">
        <f t="shared" si="13"/>
        <v>-16295158.73</v>
      </c>
    </row>
    <row r="864" spans="1:11" ht="15.95" customHeight="1" x14ac:dyDescent="0.2">
      <c r="A864" s="26">
        <v>911</v>
      </c>
      <c r="B864" s="369" t="s">
        <v>1421</v>
      </c>
      <c r="C864" s="370"/>
      <c r="D864" s="370"/>
      <c r="E864" s="27">
        <v>0</v>
      </c>
      <c r="F864" s="27">
        <v>0</v>
      </c>
      <c r="H864" s="27">
        <v>16295158.73</v>
      </c>
      <c r="J864" s="27">
        <v>-16295158.73</v>
      </c>
      <c r="K864" s="25">
        <f t="shared" si="13"/>
        <v>-16295158.73</v>
      </c>
    </row>
    <row r="865" spans="1:11" ht="27.95" customHeight="1" x14ac:dyDescent="0.2">
      <c r="A865" s="26">
        <v>91101</v>
      </c>
      <c r="B865" s="369" t="s">
        <v>1110</v>
      </c>
      <c r="C865" s="370"/>
      <c r="D865" s="370"/>
      <c r="E865" s="27">
        <v>0</v>
      </c>
      <c r="F865" s="27">
        <v>0</v>
      </c>
      <c r="H865" s="27">
        <v>16295158.73</v>
      </c>
      <c r="J865" s="27">
        <v>-16295158.73</v>
      </c>
      <c r="K865" s="25">
        <f t="shared" si="13"/>
        <v>-16295158.73</v>
      </c>
    </row>
    <row r="866" spans="1:11" ht="15.95" customHeight="1" x14ac:dyDescent="0.2">
      <c r="A866" s="26">
        <v>9110101</v>
      </c>
      <c r="B866" s="369" t="s">
        <v>1110</v>
      </c>
      <c r="C866" s="370"/>
      <c r="D866" s="370"/>
      <c r="E866" s="27">
        <v>0</v>
      </c>
      <c r="F866" s="27">
        <v>0</v>
      </c>
      <c r="H866" s="27">
        <v>16295158.73</v>
      </c>
      <c r="J866" s="27">
        <v>-16295158.73</v>
      </c>
      <c r="K866" s="25">
        <f t="shared" si="13"/>
        <v>-16295158.73</v>
      </c>
    </row>
    <row r="867" spans="1:11" ht="17.100000000000001" customHeight="1" x14ac:dyDescent="0.2">
      <c r="A867" s="26" t="s">
        <v>1422</v>
      </c>
      <c r="B867" s="369" t="s">
        <v>1110</v>
      </c>
      <c r="C867" s="370"/>
      <c r="D867" s="370"/>
      <c r="E867" s="27">
        <v>0</v>
      </c>
      <c r="F867" s="27">
        <v>0</v>
      </c>
      <c r="H867" s="27">
        <v>16295158.73</v>
      </c>
      <c r="J867" s="27">
        <v>-16295158.73</v>
      </c>
      <c r="K867" s="25">
        <f t="shared" si="13"/>
        <v>-16295158.73</v>
      </c>
    </row>
  </sheetData>
  <autoFilter ref="A1:J877"/>
  <mergeCells count="866">
    <mergeCell ref="B863:D863"/>
    <mergeCell ref="B864:D864"/>
    <mergeCell ref="B865:D865"/>
    <mergeCell ref="B866:D866"/>
    <mergeCell ref="B867:D867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10:D810"/>
    <mergeCell ref="B811:D811"/>
    <mergeCell ref="B812:D812"/>
    <mergeCell ref="B813:D813"/>
    <mergeCell ref="B814:D814"/>
    <mergeCell ref="B804:D804"/>
    <mergeCell ref="B805:D805"/>
    <mergeCell ref="B806:D806"/>
    <mergeCell ref="B807:D807"/>
    <mergeCell ref="B808:D808"/>
    <mergeCell ref="B809:D809"/>
    <mergeCell ref="B798:D798"/>
    <mergeCell ref="B799:D799"/>
    <mergeCell ref="B800:D800"/>
    <mergeCell ref="B801:D801"/>
    <mergeCell ref="B802:D802"/>
    <mergeCell ref="B803:D803"/>
    <mergeCell ref="B792:D792"/>
    <mergeCell ref="B793:D793"/>
    <mergeCell ref="B794:D794"/>
    <mergeCell ref="B795:D795"/>
    <mergeCell ref="B796:D796"/>
    <mergeCell ref="B797:D797"/>
    <mergeCell ref="B786:D786"/>
    <mergeCell ref="B787:D787"/>
    <mergeCell ref="B788:D788"/>
    <mergeCell ref="B789:D789"/>
    <mergeCell ref="B790:D790"/>
    <mergeCell ref="B791:D791"/>
    <mergeCell ref="B780:D780"/>
    <mergeCell ref="B781:D781"/>
    <mergeCell ref="B782:D782"/>
    <mergeCell ref="B783:D783"/>
    <mergeCell ref="B784:D784"/>
    <mergeCell ref="B785:D785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62:D762"/>
    <mergeCell ref="B763:D763"/>
    <mergeCell ref="B764:D764"/>
    <mergeCell ref="B765:D765"/>
    <mergeCell ref="B766:D766"/>
    <mergeCell ref="B767:D767"/>
    <mergeCell ref="B757:D757"/>
    <mergeCell ref="B758:D758"/>
    <mergeCell ref="B759:D759"/>
    <mergeCell ref="B760:D760"/>
    <mergeCell ref="B761:D761"/>
    <mergeCell ref="B751:D751"/>
    <mergeCell ref="B752:D752"/>
    <mergeCell ref="B753:D753"/>
    <mergeCell ref="B754:D754"/>
    <mergeCell ref="B755:D755"/>
    <mergeCell ref="B756:D756"/>
    <mergeCell ref="B745:D745"/>
    <mergeCell ref="B746:D746"/>
    <mergeCell ref="B747:D747"/>
    <mergeCell ref="B748:D748"/>
    <mergeCell ref="B749:D749"/>
    <mergeCell ref="B750:D750"/>
    <mergeCell ref="B739:D739"/>
    <mergeCell ref="B740:D740"/>
    <mergeCell ref="B741:D741"/>
    <mergeCell ref="B742:D742"/>
    <mergeCell ref="B743:D743"/>
    <mergeCell ref="B744:D744"/>
    <mergeCell ref="B733:D733"/>
    <mergeCell ref="B734:D734"/>
    <mergeCell ref="B735:D735"/>
    <mergeCell ref="B736:D736"/>
    <mergeCell ref="B737:D737"/>
    <mergeCell ref="B738:D738"/>
    <mergeCell ref="B727:D727"/>
    <mergeCell ref="B728:D728"/>
    <mergeCell ref="B729:D729"/>
    <mergeCell ref="B730:D730"/>
    <mergeCell ref="B731:D731"/>
    <mergeCell ref="B732:D732"/>
    <mergeCell ref="B721:D721"/>
    <mergeCell ref="B722:D722"/>
    <mergeCell ref="B723:D723"/>
    <mergeCell ref="B724:D724"/>
    <mergeCell ref="B725:D725"/>
    <mergeCell ref="B726:D726"/>
    <mergeCell ref="B715:D715"/>
    <mergeCell ref="B716:D716"/>
    <mergeCell ref="B717:D717"/>
    <mergeCell ref="B718:D718"/>
    <mergeCell ref="B719:D719"/>
    <mergeCell ref="B720:D720"/>
    <mergeCell ref="B709:D709"/>
    <mergeCell ref="B710:D710"/>
    <mergeCell ref="B711:D711"/>
    <mergeCell ref="B712:D712"/>
    <mergeCell ref="B713:D713"/>
    <mergeCell ref="B714:D714"/>
    <mergeCell ref="B704:D704"/>
    <mergeCell ref="B705:D705"/>
    <mergeCell ref="B706:D706"/>
    <mergeCell ref="B707:D707"/>
    <mergeCell ref="B708:D708"/>
    <mergeCell ref="B698:D698"/>
    <mergeCell ref="B699:D699"/>
    <mergeCell ref="B700:D700"/>
    <mergeCell ref="B701:D701"/>
    <mergeCell ref="B702:D702"/>
    <mergeCell ref="B703:D703"/>
    <mergeCell ref="B692:D692"/>
    <mergeCell ref="B693:D693"/>
    <mergeCell ref="B694:D694"/>
    <mergeCell ref="B695:D695"/>
    <mergeCell ref="B696:D696"/>
    <mergeCell ref="B697:D697"/>
    <mergeCell ref="B686:D686"/>
    <mergeCell ref="B687:D687"/>
    <mergeCell ref="B688:D688"/>
    <mergeCell ref="B689:D689"/>
    <mergeCell ref="B690:D690"/>
    <mergeCell ref="B691:D691"/>
    <mergeCell ref="B680:D680"/>
    <mergeCell ref="B681:D681"/>
    <mergeCell ref="B682:D682"/>
    <mergeCell ref="B683:D683"/>
    <mergeCell ref="B684:D684"/>
    <mergeCell ref="B685:D685"/>
    <mergeCell ref="B674:D674"/>
    <mergeCell ref="B675:D675"/>
    <mergeCell ref="B676:D676"/>
    <mergeCell ref="B677:D677"/>
    <mergeCell ref="B678:D678"/>
    <mergeCell ref="B679:D679"/>
    <mergeCell ref="B668:D668"/>
    <mergeCell ref="B669:D669"/>
    <mergeCell ref="B670:D670"/>
    <mergeCell ref="B671:D671"/>
    <mergeCell ref="B672:D672"/>
    <mergeCell ref="B673:D673"/>
    <mergeCell ref="B662:D662"/>
    <mergeCell ref="B663:D663"/>
    <mergeCell ref="B664:D664"/>
    <mergeCell ref="B665:D665"/>
    <mergeCell ref="B666:D666"/>
    <mergeCell ref="B667:D667"/>
    <mergeCell ref="B656:D656"/>
    <mergeCell ref="B657:D657"/>
    <mergeCell ref="B658:D658"/>
    <mergeCell ref="B659:D659"/>
    <mergeCell ref="B660:D660"/>
    <mergeCell ref="B661:D661"/>
    <mergeCell ref="B650:D650"/>
    <mergeCell ref="B651:D651"/>
    <mergeCell ref="B652:D652"/>
    <mergeCell ref="B653:D653"/>
    <mergeCell ref="B654:D654"/>
    <mergeCell ref="B655:D655"/>
    <mergeCell ref="B645:D645"/>
    <mergeCell ref="B646:D646"/>
    <mergeCell ref="B647:D647"/>
    <mergeCell ref="B648:D648"/>
    <mergeCell ref="B649:D649"/>
    <mergeCell ref="B639:D639"/>
    <mergeCell ref="B640:D640"/>
    <mergeCell ref="B641:D641"/>
    <mergeCell ref="B642:D642"/>
    <mergeCell ref="B643:D643"/>
    <mergeCell ref="B644:D644"/>
    <mergeCell ref="B633:D633"/>
    <mergeCell ref="B634:D634"/>
    <mergeCell ref="B635:D635"/>
    <mergeCell ref="B636:D636"/>
    <mergeCell ref="B637:D637"/>
    <mergeCell ref="B638:D638"/>
    <mergeCell ref="B627:D627"/>
    <mergeCell ref="B628:D628"/>
    <mergeCell ref="B629:D629"/>
    <mergeCell ref="B630:D630"/>
    <mergeCell ref="B631:D631"/>
    <mergeCell ref="B632:D632"/>
    <mergeCell ref="B621:D621"/>
    <mergeCell ref="B622:D622"/>
    <mergeCell ref="B623:D623"/>
    <mergeCell ref="B624:D624"/>
    <mergeCell ref="B625:D625"/>
    <mergeCell ref="B626:D626"/>
    <mergeCell ref="B615:D615"/>
    <mergeCell ref="B616:D616"/>
    <mergeCell ref="B617:D617"/>
    <mergeCell ref="B618:D618"/>
    <mergeCell ref="B619:D619"/>
    <mergeCell ref="B620:D620"/>
    <mergeCell ref="B609:D609"/>
    <mergeCell ref="B610:D610"/>
    <mergeCell ref="B611:D611"/>
    <mergeCell ref="B612:D612"/>
    <mergeCell ref="B613:D613"/>
    <mergeCell ref="B614:D614"/>
    <mergeCell ref="B603:D603"/>
    <mergeCell ref="B604:D604"/>
    <mergeCell ref="B605:D605"/>
    <mergeCell ref="B606:D606"/>
    <mergeCell ref="B607:D607"/>
    <mergeCell ref="B608:D608"/>
    <mergeCell ref="B597:D597"/>
    <mergeCell ref="B598:D598"/>
    <mergeCell ref="B599:D599"/>
    <mergeCell ref="B600:D600"/>
    <mergeCell ref="B601:D601"/>
    <mergeCell ref="B602:D602"/>
    <mergeCell ref="B592:D592"/>
    <mergeCell ref="B593:D593"/>
    <mergeCell ref="B594:D594"/>
    <mergeCell ref="B595:D595"/>
    <mergeCell ref="B596:D596"/>
    <mergeCell ref="B586:D586"/>
    <mergeCell ref="B587:D587"/>
    <mergeCell ref="B588:D588"/>
    <mergeCell ref="B589:D589"/>
    <mergeCell ref="B590:D590"/>
    <mergeCell ref="B591:D591"/>
    <mergeCell ref="B580:D580"/>
    <mergeCell ref="B581:D581"/>
    <mergeCell ref="B582:D582"/>
    <mergeCell ref="B583:D583"/>
    <mergeCell ref="B584:D584"/>
    <mergeCell ref="B585:D585"/>
    <mergeCell ref="B574:D574"/>
    <mergeCell ref="B575:D575"/>
    <mergeCell ref="B576:D576"/>
    <mergeCell ref="B577:D577"/>
    <mergeCell ref="B578:D578"/>
    <mergeCell ref="B579:D579"/>
    <mergeCell ref="B568:D568"/>
    <mergeCell ref="B569:D569"/>
    <mergeCell ref="B570:D570"/>
    <mergeCell ref="B571:D571"/>
    <mergeCell ref="B572:D572"/>
    <mergeCell ref="B573:D573"/>
    <mergeCell ref="B562:D562"/>
    <mergeCell ref="B563:D563"/>
    <mergeCell ref="B564:D564"/>
    <mergeCell ref="B565:D565"/>
    <mergeCell ref="B566:D566"/>
    <mergeCell ref="B567:D567"/>
    <mergeCell ref="B556:D556"/>
    <mergeCell ref="B557:D557"/>
    <mergeCell ref="B558:D558"/>
    <mergeCell ref="B559:D559"/>
    <mergeCell ref="B560:D560"/>
    <mergeCell ref="B561:D561"/>
    <mergeCell ref="B550:D550"/>
    <mergeCell ref="B551:D551"/>
    <mergeCell ref="B552:D552"/>
    <mergeCell ref="B553:D553"/>
    <mergeCell ref="B554:D554"/>
    <mergeCell ref="B555:D555"/>
    <mergeCell ref="B544:D544"/>
    <mergeCell ref="B545:D545"/>
    <mergeCell ref="B546:D546"/>
    <mergeCell ref="B547:D547"/>
    <mergeCell ref="B548:D548"/>
    <mergeCell ref="B549:D549"/>
    <mergeCell ref="B539:D539"/>
    <mergeCell ref="B540:D540"/>
    <mergeCell ref="B541:D541"/>
    <mergeCell ref="B542:D542"/>
    <mergeCell ref="B543:D543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6:D486"/>
    <mergeCell ref="B487:D487"/>
    <mergeCell ref="B488:D488"/>
    <mergeCell ref="B489:D489"/>
    <mergeCell ref="B490:D490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476:D476"/>
    <mergeCell ref="B477:D477"/>
    <mergeCell ref="B478:D478"/>
    <mergeCell ref="B479:D479"/>
    <mergeCell ref="B468:D468"/>
    <mergeCell ref="B469:D469"/>
    <mergeCell ref="B470:D470"/>
    <mergeCell ref="B471:D471"/>
    <mergeCell ref="B472:D472"/>
    <mergeCell ref="B473:D473"/>
    <mergeCell ref="B462:D462"/>
    <mergeCell ref="B463:D463"/>
    <mergeCell ref="B464:D464"/>
    <mergeCell ref="B465:D465"/>
    <mergeCell ref="B466:D466"/>
    <mergeCell ref="B467:D467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33:D433"/>
    <mergeCell ref="B434:D434"/>
    <mergeCell ref="B435:D435"/>
    <mergeCell ref="B436:D436"/>
    <mergeCell ref="B437:D437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420:D420"/>
    <mergeCell ref="B409:D409"/>
    <mergeCell ref="B410:D410"/>
    <mergeCell ref="B411:D411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380:D380"/>
    <mergeCell ref="B381:D381"/>
    <mergeCell ref="B382:D382"/>
    <mergeCell ref="B383:D383"/>
    <mergeCell ref="B384:D384"/>
    <mergeCell ref="B374:D374"/>
    <mergeCell ref="B375:D375"/>
    <mergeCell ref="B376:D376"/>
    <mergeCell ref="B377:D377"/>
    <mergeCell ref="B378:D378"/>
    <mergeCell ref="B379:D379"/>
    <mergeCell ref="B368:D368"/>
    <mergeCell ref="B369:D369"/>
    <mergeCell ref="B370:D370"/>
    <mergeCell ref="B371:D371"/>
    <mergeCell ref="B372:D372"/>
    <mergeCell ref="B373:D373"/>
    <mergeCell ref="B362:D362"/>
    <mergeCell ref="B363:D363"/>
    <mergeCell ref="B364:D364"/>
    <mergeCell ref="B365:D365"/>
    <mergeCell ref="B366:D366"/>
    <mergeCell ref="B367:D367"/>
    <mergeCell ref="B356:D356"/>
    <mergeCell ref="B357:D357"/>
    <mergeCell ref="B358:D358"/>
    <mergeCell ref="B359:D359"/>
    <mergeCell ref="B360:D360"/>
    <mergeCell ref="B361:D361"/>
    <mergeCell ref="B350:D350"/>
    <mergeCell ref="B351:D351"/>
    <mergeCell ref="B352:D352"/>
    <mergeCell ref="B353:D353"/>
    <mergeCell ref="B354:D354"/>
    <mergeCell ref="B355:D355"/>
    <mergeCell ref="B344:D344"/>
    <mergeCell ref="B345:D345"/>
    <mergeCell ref="B346:D346"/>
    <mergeCell ref="B347:D347"/>
    <mergeCell ref="B348:D348"/>
    <mergeCell ref="B349:D349"/>
    <mergeCell ref="B338:D338"/>
    <mergeCell ref="B339:D339"/>
    <mergeCell ref="B340:D340"/>
    <mergeCell ref="B341:D341"/>
    <mergeCell ref="B342:D342"/>
    <mergeCell ref="B343:D343"/>
    <mergeCell ref="B332:D332"/>
    <mergeCell ref="B333:D333"/>
    <mergeCell ref="B334:D334"/>
    <mergeCell ref="B335:D335"/>
    <mergeCell ref="B336:D336"/>
    <mergeCell ref="B337:D337"/>
    <mergeCell ref="B326:D326"/>
    <mergeCell ref="B327:D327"/>
    <mergeCell ref="B328:D328"/>
    <mergeCell ref="B329:D329"/>
    <mergeCell ref="B330:D330"/>
    <mergeCell ref="B331:D331"/>
    <mergeCell ref="B321:D321"/>
    <mergeCell ref="B322:D322"/>
    <mergeCell ref="B323:D323"/>
    <mergeCell ref="B324:D324"/>
    <mergeCell ref="B325:D325"/>
    <mergeCell ref="B315:D315"/>
    <mergeCell ref="B316:D316"/>
    <mergeCell ref="B317:D317"/>
    <mergeCell ref="B318:D318"/>
    <mergeCell ref="B319:D319"/>
    <mergeCell ref="B320:D320"/>
    <mergeCell ref="B309:D309"/>
    <mergeCell ref="B310:D310"/>
    <mergeCell ref="B311:D311"/>
    <mergeCell ref="B312:D312"/>
    <mergeCell ref="B313:D313"/>
    <mergeCell ref="B314:D314"/>
    <mergeCell ref="B303:D303"/>
    <mergeCell ref="B304:D304"/>
    <mergeCell ref="B305:D305"/>
    <mergeCell ref="B306:D306"/>
    <mergeCell ref="B307:D307"/>
    <mergeCell ref="B308:D308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285:D285"/>
    <mergeCell ref="B286:D286"/>
    <mergeCell ref="B287:D287"/>
    <mergeCell ref="B288:D288"/>
    <mergeCell ref="B289:D289"/>
    <mergeCell ref="B290:D290"/>
    <mergeCell ref="B279:D279"/>
    <mergeCell ref="B280:D280"/>
    <mergeCell ref="B281:D281"/>
    <mergeCell ref="B282:D282"/>
    <mergeCell ref="B283:D283"/>
    <mergeCell ref="B284:D284"/>
    <mergeCell ref="B273:D273"/>
    <mergeCell ref="B274:D274"/>
    <mergeCell ref="B275:D275"/>
    <mergeCell ref="B276:D276"/>
    <mergeCell ref="B277:D277"/>
    <mergeCell ref="B278:D278"/>
    <mergeCell ref="B268:D268"/>
    <mergeCell ref="B269:D269"/>
    <mergeCell ref="B270:D270"/>
    <mergeCell ref="B271:D271"/>
    <mergeCell ref="B272:D272"/>
    <mergeCell ref="B262:D262"/>
    <mergeCell ref="B263:D263"/>
    <mergeCell ref="B264:D264"/>
    <mergeCell ref="B265:D265"/>
    <mergeCell ref="B266:D266"/>
    <mergeCell ref="B267:D267"/>
    <mergeCell ref="B256:D256"/>
    <mergeCell ref="B257:D257"/>
    <mergeCell ref="B258:D258"/>
    <mergeCell ref="B259:D259"/>
    <mergeCell ref="B260:D260"/>
    <mergeCell ref="B261:D261"/>
    <mergeCell ref="B250:D250"/>
    <mergeCell ref="B251:D251"/>
    <mergeCell ref="B252:D252"/>
    <mergeCell ref="B253:D253"/>
    <mergeCell ref="B254:D254"/>
    <mergeCell ref="B255:D255"/>
    <mergeCell ref="B244:D244"/>
    <mergeCell ref="B245:D245"/>
    <mergeCell ref="B246:D246"/>
    <mergeCell ref="B247:D247"/>
    <mergeCell ref="B248:D248"/>
    <mergeCell ref="B249:D249"/>
    <mergeCell ref="B238:D238"/>
    <mergeCell ref="B239:D239"/>
    <mergeCell ref="B240:D240"/>
    <mergeCell ref="B241:D241"/>
    <mergeCell ref="B242:D242"/>
    <mergeCell ref="B243:D243"/>
    <mergeCell ref="B232:D232"/>
    <mergeCell ref="B233:D233"/>
    <mergeCell ref="B234:D234"/>
    <mergeCell ref="B235:D235"/>
    <mergeCell ref="B236:D236"/>
    <mergeCell ref="B237:D237"/>
    <mergeCell ref="B226:D226"/>
    <mergeCell ref="B227:D227"/>
    <mergeCell ref="B228:D228"/>
    <mergeCell ref="B229:D229"/>
    <mergeCell ref="B230:D230"/>
    <mergeCell ref="B231:D231"/>
    <mergeCell ref="B220:D220"/>
    <mergeCell ref="B221:D221"/>
    <mergeCell ref="B222:D222"/>
    <mergeCell ref="B223:D223"/>
    <mergeCell ref="B224:D224"/>
    <mergeCell ref="B225:D225"/>
    <mergeCell ref="B215:D215"/>
    <mergeCell ref="B216:D216"/>
    <mergeCell ref="B217:D217"/>
    <mergeCell ref="B218:D218"/>
    <mergeCell ref="B219:D219"/>
    <mergeCell ref="B209:D209"/>
    <mergeCell ref="B210:D210"/>
    <mergeCell ref="B211:D211"/>
    <mergeCell ref="B212:D212"/>
    <mergeCell ref="B213:D213"/>
    <mergeCell ref="B214:D214"/>
    <mergeCell ref="B203:D203"/>
    <mergeCell ref="B204:D204"/>
    <mergeCell ref="B205:D205"/>
    <mergeCell ref="B206:D206"/>
    <mergeCell ref="B207:D207"/>
    <mergeCell ref="B208:D208"/>
    <mergeCell ref="B197:D197"/>
    <mergeCell ref="B198:D198"/>
    <mergeCell ref="B199:D199"/>
    <mergeCell ref="B200:D200"/>
    <mergeCell ref="B201:D201"/>
    <mergeCell ref="B202:D202"/>
    <mergeCell ref="B191:D191"/>
    <mergeCell ref="B192:D192"/>
    <mergeCell ref="B193:D193"/>
    <mergeCell ref="B194:D194"/>
    <mergeCell ref="B195:D195"/>
    <mergeCell ref="B196:D196"/>
    <mergeCell ref="B185:D185"/>
    <mergeCell ref="B186:D186"/>
    <mergeCell ref="B187:D187"/>
    <mergeCell ref="B188:D188"/>
    <mergeCell ref="B189:D189"/>
    <mergeCell ref="B190:D190"/>
    <mergeCell ref="B179:D179"/>
    <mergeCell ref="B180:D180"/>
    <mergeCell ref="B181:D181"/>
    <mergeCell ref="B182:D182"/>
    <mergeCell ref="B183:D183"/>
    <mergeCell ref="B184:D184"/>
    <mergeCell ref="B173:D173"/>
    <mergeCell ref="B174:D174"/>
    <mergeCell ref="B175:D175"/>
    <mergeCell ref="B176:D176"/>
    <mergeCell ref="B177:D177"/>
    <mergeCell ref="B178:D178"/>
    <mergeCell ref="B167:D167"/>
    <mergeCell ref="B168:D168"/>
    <mergeCell ref="B169:D169"/>
    <mergeCell ref="B170:D170"/>
    <mergeCell ref="B171:D171"/>
    <mergeCell ref="B172:D172"/>
    <mergeCell ref="B162:D162"/>
    <mergeCell ref="B163:D163"/>
    <mergeCell ref="B164:D164"/>
    <mergeCell ref="B165:D165"/>
    <mergeCell ref="B166:D166"/>
    <mergeCell ref="B156:D156"/>
    <mergeCell ref="B157:D157"/>
    <mergeCell ref="B158:D158"/>
    <mergeCell ref="B159:D159"/>
    <mergeCell ref="B160:D160"/>
    <mergeCell ref="B161:D161"/>
    <mergeCell ref="B150:D150"/>
    <mergeCell ref="B151:D151"/>
    <mergeCell ref="B152:D152"/>
    <mergeCell ref="B153:D153"/>
    <mergeCell ref="B154:D154"/>
    <mergeCell ref="B155:D155"/>
    <mergeCell ref="B144:D144"/>
    <mergeCell ref="B145:D145"/>
    <mergeCell ref="B146:D146"/>
    <mergeCell ref="B147:D147"/>
    <mergeCell ref="B148:D148"/>
    <mergeCell ref="B149:D149"/>
    <mergeCell ref="B138:D138"/>
    <mergeCell ref="B139:D139"/>
    <mergeCell ref="B140:D140"/>
    <mergeCell ref="B141:D141"/>
    <mergeCell ref="B142:D142"/>
    <mergeCell ref="B143:D143"/>
    <mergeCell ref="B132:D132"/>
    <mergeCell ref="B133:D133"/>
    <mergeCell ref="B134:D134"/>
    <mergeCell ref="B135:D135"/>
    <mergeCell ref="B136:D136"/>
    <mergeCell ref="B137:D137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9:D109"/>
    <mergeCell ref="B110:D110"/>
    <mergeCell ref="B111:D111"/>
    <mergeCell ref="B112:D112"/>
    <mergeCell ref="B113:D113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6:D56"/>
    <mergeCell ref="B57:D57"/>
    <mergeCell ref="B58:D58"/>
    <mergeCell ref="B59:D59"/>
    <mergeCell ref="B60:D60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  <mergeCell ref="B14:D14"/>
    <mergeCell ref="B15:D15"/>
    <mergeCell ref="B16:D1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80" customWidth="1"/>
    <col min="2" max="2" width="2.140625" style="180" customWidth="1"/>
    <col min="3" max="3" width="23.5703125" style="180" customWidth="1"/>
    <col min="4" max="4" width="26.85546875" style="180" customWidth="1"/>
    <col min="5" max="5" width="16.140625" style="180" customWidth="1"/>
    <col min="6" max="6" width="15.42578125" style="180" customWidth="1"/>
    <col min="7" max="7" width="2.140625" style="180" customWidth="1"/>
    <col min="8" max="8" width="14" style="180" customWidth="1"/>
    <col min="9" max="9" width="2.140625" style="180" customWidth="1"/>
    <col min="10" max="10" width="15.42578125" style="180" customWidth="1"/>
    <col min="11" max="11" width="13.42578125" style="180" bestFit="1" customWidth="1"/>
    <col min="12" max="12" width="9.140625" style="32"/>
    <col min="13" max="14" width="9.140625" style="180"/>
    <col min="15" max="15" width="13" style="180" bestFit="1" customWidth="1"/>
    <col min="16" max="256" width="9.140625" style="180"/>
    <col min="257" max="257" width="13.85546875" style="180" customWidth="1"/>
    <col min="258" max="258" width="2.140625" style="180" customWidth="1"/>
    <col min="259" max="259" width="23.5703125" style="180" customWidth="1"/>
    <col min="260" max="260" width="26.85546875" style="180" customWidth="1"/>
    <col min="261" max="261" width="16.140625" style="180" customWidth="1"/>
    <col min="262" max="262" width="15.42578125" style="180" customWidth="1"/>
    <col min="263" max="263" width="2.140625" style="180" customWidth="1"/>
    <col min="264" max="264" width="14" style="180" customWidth="1"/>
    <col min="265" max="265" width="2.140625" style="180" customWidth="1"/>
    <col min="266" max="266" width="15.42578125" style="180" customWidth="1"/>
    <col min="267" max="267" width="13.42578125" style="180" bestFit="1" customWidth="1"/>
    <col min="268" max="512" width="9.140625" style="180"/>
    <col min="513" max="513" width="13.85546875" style="180" customWidth="1"/>
    <col min="514" max="514" width="2.140625" style="180" customWidth="1"/>
    <col min="515" max="515" width="23.5703125" style="180" customWidth="1"/>
    <col min="516" max="516" width="26.85546875" style="180" customWidth="1"/>
    <col min="517" max="517" width="16.140625" style="180" customWidth="1"/>
    <col min="518" max="518" width="15.42578125" style="180" customWidth="1"/>
    <col min="519" max="519" width="2.140625" style="180" customWidth="1"/>
    <col min="520" max="520" width="14" style="180" customWidth="1"/>
    <col min="521" max="521" width="2.140625" style="180" customWidth="1"/>
    <col min="522" max="522" width="15.42578125" style="180" customWidth="1"/>
    <col min="523" max="523" width="13.42578125" style="180" bestFit="1" customWidth="1"/>
    <col min="524" max="768" width="9.140625" style="180"/>
    <col min="769" max="769" width="13.85546875" style="180" customWidth="1"/>
    <col min="770" max="770" width="2.140625" style="180" customWidth="1"/>
    <col min="771" max="771" width="23.5703125" style="180" customWidth="1"/>
    <col min="772" max="772" width="26.85546875" style="180" customWidth="1"/>
    <col min="773" max="773" width="16.140625" style="180" customWidth="1"/>
    <col min="774" max="774" width="15.42578125" style="180" customWidth="1"/>
    <col min="775" max="775" width="2.140625" style="180" customWidth="1"/>
    <col min="776" max="776" width="14" style="180" customWidth="1"/>
    <col min="777" max="777" width="2.140625" style="180" customWidth="1"/>
    <col min="778" max="778" width="15.42578125" style="180" customWidth="1"/>
    <col min="779" max="779" width="13.42578125" style="180" bestFit="1" customWidth="1"/>
    <col min="780" max="1024" width="9.140625" style="180"/>
    <col min="1025" max="1025" width="13.85546875" style="180" customWidth="1"/>
    <col min="1026" max="1026" width="2.140625" style="180" customWidth="1"/>
    <col min="1027" max="1027" width="23.5703125" style="180" customWidth="1"/>
    <col min="1028" max="1028" width="26.85546875" style="180" customWidth="1"/>
    <col min="1029" max="1029" width="16.140625" style="180" customWidth="1"/>
    <col min="1030" max="1030" width="15.42578125" style="180" customWidth="1"/>
    <col min="1031" max="1031" width="2.140625" style="180" customWidth="1"/>
    <col min="1032" max="1032" width="14" style="180" customWidth="1"/>
    <col min="1033" max="1033" width="2.140625" style="180" customWidth="1"/>
    <col min="1034" max="1034" width="15.42578125" style="180" customWidth="1"/>
    <col min="1035" max="1035" width="13.42578125" style="180" bestFit="1" customWidth="1"/>
    <col min="1036" max="1280" width="9.140625" style="180"/>
    <col min="1281" max="1281" width="13.85546875" style="180" customWidth="1"/>
    <col min="1282" max="1282" width="2.140625" style="180" customWidth="1"/>
    <col min="1283" max="1283" width="23.5703125" style="180" customWidth="1"/>
    <col min="1284" max="1284" width="26.85546875" style="180" customWidth="1"/>
    <col min="1285" max="1285" width="16.140625" style="180" customWidth="1"/>
    <col min="1286" max="1286" width="15.42578125" style="180" customWidth="1"/>
    <col min="1287" max="1287" width="2.140625" style="180" customWidth="1"/>
    <col min="1288" max="1288" width="14" style="180" customWidth="1"/>
    <col min="1289" max="1289" width="2.140625" style="180" customWidth="1"/>
    <col min="1290" max="1290" width="15.42578125" style="180" customWidth="1"/>
    <col min="1291" max="1291" width="13.42578125" style="180" bestFit="1" customWidth="1"/>
    <col min="1292" max="1536" width="9.140625" style="180"/>
    <col min="1537" max="1537" width="13.85546875" style="180" customWidth="1"/>
    <col min="1538" max="1538" width="2.140625" style="180" customWidth="1"/>
    <col min="1539" max="1539" width="23.5703125" style="180" customWidth="1"/>
    <col min="1540" max="1540" width="26.85546875" style="180" customWidth="1"/>
    <col min="1541" max="1541" width="16.140625" style="180" customWidth="1"/>
    <col min="1542" max="1542" width="15.42578125" style="180" customWidth="1"/>
    <col min="1543" max="1543" width="2.140625" style="180" customWidth="1"/>
    <col min="1544" max="1544" width="14" style="180" customWidth="1"/>
    <col min="1545" max="1545" width="2.140625" style="180" customWidth="1"/>
    <col min="1546" max="1546" width="15.42578125" style="180" customWidth="1"/>
    <col min="1547" max="1547" width="13.42578125" style="180" bestFit="1" customWidth="1"/>
    <col min="1548" max="1792" width="9.140625" style="180"/>
    <col min="1793" max="1793" width="13.85546875" style="180" customWidth="1"/>
    <col min="1794" max="1794" width="2.140625" style="180" customWidth="1"/>
    <col min="1795" max="1795" width="23.5703125" style="180" customWidth="1"/>
    <col min="1796" max="1796" width="26.85546875" style="180" customWidth="1"/>
    <col min="1797" max="1797" width="16.140625" style="180" customWidth="1"/>
    <col min="1798" max="1798" width="15.42578125" style="180" customWidth="1"/>
    <col min="1799" max="1799" width="2.140625" style="180" customWidth="1"/>
    <col min="1800" max="1800" width="14" style="180" customWidth="1"/>
    <col min="1801" max="1801" width="2.140625" style="180" customWidth="1"/>
    <col min="1802" max="1802" width="15.42578125" style="180" customWidth="1"/>
    <col min="1803" max="1803" width="13.42578125" style="180" bestFit="1" customWidth="1"/>
    <col min="1804" max="2048" width="9.140625" style="180"/>
    <col min="2049" max="2049" width="13.85546875" style="180" customWidth="1"/>
    <col min="2050" max="2050" width="2.140625" style="180" customWidth="1"/>
    <col min="2051" max="2051" width="23.5703125" style="180" customWidth="1"/>
    <col min="2052" max="2052" width="26.85546875" style="180" customWidth="1"/>
    <col min="2053" max="2053" width="16.140625" style="180" customWidth="1"/>
    <col min="2054" max="2054" width="15.42578125" style="180" customWidth="1"/>
    <col min="2055" max="2055" width="2.140625" style="180" customWidth="1"/>
    <col min="2056" max="2056" width="14" style="180" customWidth="1"/>
    <col min="2057" max="2057" width="2.140625" style="180" customWidth="1"/>
    <col min="2058" max="2058" width="15.42578125" style="180" customWidth="1"/>
    <col min="2059" max="2059" width="13.42578125" style="180" bestFit="1" customWidth="1"/>
    <col min="2060" max="2304" width="9.140625" style="180"/>
    <col min="2305" max="2305" width="13.85546875" style="180" customWidth="1"/>
    <col min="2306" max="2306" width="2.140625" style="180" customWidth="1"/>
    <col min="2307" max="2307" width="23.5703125" style="180" customWidth="1"/>
    <col min="2308" max="2308" width="26.85546875" style="180" customWidth="1"/>
    <col min="2309" max="2309" width="16.140625" style="180" customWidth="1"/>
    <col min="2310" max="2310" width="15.42578125" style="180" customWidth="1"/>
    <col min="2311" max="2311" width="2.140625" style="180" customWidth="1"/>
    <col min="2312" max="2312" width="14" style="180" customWidth="1"/>
    <col min="2313" max="2313" width="2.140625" style="180" customWidth="1"/>
    <col min="2314" max="2314" width="15.42578125" style="180" customWidth="1"/>
    <col min="2315" max="2315" width="13.42578125" style="180" bestFit="1" customWidth="1"/>
    <col min="2316" max="2560" width="9.140625" style="180"/>
    <col min="2561" max="2561" width="13.85546875" style="180" customWidth="1"/>
    <col min="2562" max="2562" width="2.140625" style="180" customWidth="1"/>
    <col min="2563" max="2563" width="23.5703125" style="180" customWidth="1"/>
    <col min="2564" max="2564" width="26.85546875" style="180" customWidth="1"/>
    <col min="2565" max="2565" width="16.140625" style="180" customWidth="1"/>
    <col min="2566" max="2566" width="15.42578125" style="180" customWidth="1"/>
    <col min="2567" max="2567" width="2.140625" style="180" customWidth="1"/>
    <col min="2568" max="2568" width="14" style="180" customWidth="1"/>
    <col min="2569" max="2569" width="2.140625" style="180" customWidth="1"/>
    <col min="2570" max="2570" width="15.42578125" style="180" customWidth="1"/>
    <col min="2571" max="2571" width="13.42578125" style="180" bestFit="1" customWidth="1"/>
    <col min="2572" max="2816" width="9.140625" style="180"/>
    <col min="2817" max="2817" width="13.85546875" style="180" customWidth="1"/>
    <col min="2818" max="2818" width="2.140625" style="180" customWidth="1"/>
    <col min="2819" max="2819" width="23.5703125" style="180" customWidth="1"/>
    <col min="2820" max="2820" width="26.85546875" style="180" customWidth="1"/>
    <col min="2821" max="2821" width="16.140625" style="180" customWidth="1"/>
    <col min="2822" max="2822" width="15.42578125" style="180" customWidth="1"/>
    <col min="2823" max="2823" width="2.140625" style="180" customWidth="1"/>
    <col min="2824" max="2824" width="14" style="180" customWidth="1"/>
    <col min="2825" max="2825" width="2.140625" style="180" customWidth="1"/>
    <col min="2826" max="2826" width="15.42578125" style="180" customWidth="1"/>
    <col min="2827" max="2827" width="13.42578125" style="180" bestFit="1" customWidth="1"/>
    <col min="2828" max="3072" width="9.140625" style="180"/>
    <col min="3073" max="3073" width="13.85546875" style="180" customWidth="1"/>
    <col min="3074" max="3074" width="2.140625" style="180" customWidth="1"/>
    <col min="3075" max="3075" width="23.5703125" style="180" customWidth="1"/>
    <col min="3076" max="3076" width="26.85546875" style="180" customWidth="1"/>
    <col min="3077" max="3077" width="16.140625" style="180" customWidth="1"/>
    <col min="3078" max="3078" width="15.42578125" style="180" customWidth="1"/>
    <col min="3079" max="3079" width="2.140625" style="180" customWidth="1"/>
    <col min="3080" max="3080" width="14" style="180" customWidth="1"/>
    <col min="3081" max="3081" width="2.140625" style="180" customWidth="1"/>
    <col min="3082" max="3082" width="15.42578125" style="180" customWidth="1"/>
    <col min="3083" max="3083" width="13.42578125" style="180" bestFit="1" customWidth="1"/>
    <col min="3084" max="3328" width="9.140625" style="180"/>
    <col min="3329" max="3329" width="13.85546875" style="180" customWidth="1"/>
    <col min="3330" max="3330" width="2.140625" style="180" customWidth="1"/>
    <col min="3331" max="3331" width="23.5703125" style="180" customWidth="1"/>
    <col min="3332" max="3332" width="26.85546875" style="180" customWidth="1"/>
    <col min="3333" max="3333" width="16.140625" style="180" customWidth="1"/>
    <col min="3334" max="3334" width="15.42578125" style="180" customWidth="1"/>
    <col min="3335" max="3335" width="2.140625" style="180" customWidth="1"/>
    <col min="3336" max="3336" width="14" style="180" customWidth="1"/>
    <col min="3337" max="3337" width="2.140625" style="180" customWidth="1"/>
    <col min="3338" max="3338" width="15.42578125" style="180" customWidth="1"/>
    <col min="3339" max="3339" width="13.42578125" style="180" bestFit="1" customWidth="1"/>
    <col min="3340" max="3584" width="9.140625" style="180"/>
    <col min="3585" max="3585" width="13.85546875" style="180" customWidth="1"/>
    <col min="3586" max="3586" width="2.140625" style="180" customWidth="1"/>
    <col min="3587" max="3587" width="23.5703125" style="180" customWidth="1"/>
    <col min="3588" max="3588" width="26.85546875" style="180" customWidth="1"/>
    <col min="3589" max="3589" width="16.140625" style="180" customWidth="1"/>
    <col min="3590" max="3590" width="15.42578125" style="180" customWidth="1"/>
    <col min="3591" max="3591" width="2.140625" style="180" customWidth="1"/>
    <col min="3592" max="3592" width="14" style="180" customWidth="1"/>
    <col min="3593" max="3593" width="2.140625" style="180" customWidth="1"/>
    <col min="3594" max="3594" width="15.42578125" style="180" customWidth="1"/>
    <col min="3595" max="3595" width="13.42578125" style="180" bestFit="1" customWidth="1"/>
    <col min="3596" max="3840" width="9.140625" style="180"/>
    <col min="3841" max="3841" width="13.85546875" style="180" customWidth="1"/>
    <col min="3842" max="3842" width="2.140625" style="180" customWidth="1"/>
    <col min="3843" max="3843" width="23.5703125" style="180" customWidth="1"/>
    <col min="3844" max="3844" width="26.85546875" style="180" customWidth="1"/>
    <col min="3845" max="3845" width="16.140625" style="180" customWidth="1"/>
    <col min="3846" max="3846" width="15.42578125" style="180" customWidth="1"/>
    <col min="3847" max="3847" width="2.140625" style="180" customWidth="1"/>
    <col min="3848" max="3848" width="14" style="180" customWidth="1"/>
    <col min="3849" max="3849" width="2.140625" style="180" customWidth="1"/>
    <col min="3850" max="3850" width="15.42578125" style="180" customWidth="1"/>
    <col min="3851" max="3851" width="13.42578125" style="180" bestFit="1" customWidth="1"/>
    <col min="3852" max="4096" width="9.140625" style="180"/>
    <col min="4097" max="4097" width="13.85546875" style="180" customWidth="1"/>
    <col min="4098" max="4098" width="2.140625" style="180" customWidth="1"/>
    <col min="4099" max="4099" width="23.5703125" style="180" customWidth="1"/>
    <col min="4100" max="4100" width="26.85546875" style="180" customWidth="1"/>
    <col min="4101" max="4101" width="16.140625" style="180" customWidth="1"/>
    <col min="4102" max="4102" width="15.42578125" style="180" customWidth="1"/>
    <col min="4103" max="4103" width="2.140625" style="180" customWidth="1"/>
    <col min="4104" max="4104" width="14" style="180" customWidth="1"/>
    <col min="4105" max="4105" width="2.140625" style="180" customWidth="1"/>
    <col min="4106" max="4106" width="15.42578125" style="180" customWidth="1"/>
    <col min="4107" max="4107" width="13.42578125" style="180" bestFit="1" customWidth="1"/>
    <col min="4108" max="4352" width="9.140625" style="180"/>
    <col min="4353" max="4353" width="13.85546875" style="180" customWidth="1"/>
    <col min="4354" max="4354" width="2.140625" style="180" customWidth="1"/>
    <col min="4355" max="4355" width="23.5703125" style="180" customWidth="1"/>
    <col min="4356" max="4356" width="26.85546875" style="180" customWidth="1"/>
    <col min="4357" max="4357" width="16.140625" style="180" customWidth="1"/>
    <col min="4358" max="4358" width="15.42578125" style="180" customWidth="1"/>
    <col min="4359" max="4359" width="2.140625" style="180" customWidth="1"/>
    <col min="4360" max="4360" width="14" style="180" customWidth="1"/>
    <col min="4361" max="4361" width="2.140625" style="180" customWidth="1"/>
    <col min="4362" max="4362" width="15.42578125" style="180" customWidth="1"/>
    <col min="4363" max="4363" width="13.42578125" style="180" bestFit="1" customWidth="1"/>
    <col min="4364" max="4608" width="9.140625" style="180"/>
    <col min="4609" max="4609" width="13.85546875" style="180" customWidth="1"/>
    <col min="4610" max="4610" width="2.140625" style="180" customWidth="1"/>
    <col min="4611" max="4611" width="23.5703125" style="180" customWidth="1"/>
    <col min="4612" max="4612" width="26.85546875" style="180" customWidth="1"/>
    <col min="4613" max="4613" width="16.140625" style="180" customWidth="1"/>
    <col min="4614" max="4614" width="15.42578125" style="180" customWidth="1"/>
    <col min="4615" max="4615" width="2.140625" style="180" customWidth="1"/>
    <col min="4616" max="4616" width="14" style="180" customWidth="1"/>
    <col min="4617" max="4617" width="2.140625" style="180" customWidth="1"/>
    <col min="4618" max="4618" width="15.42578125" style="180" customWidth="1"/>
    <col min="4619" max="4619" width="13.42578125" style="180" bestFit="1" customWidth="1"/>
    <col min="4620" max="4864" width="9.140625" style="180"/>
    <col min="4865" max="4865" width="13.85546875" style="180" customWidth="1"/>
    <col min="4866" max="4866" width="2.140625" style="180" customWidth="1"/>
    <col min="4867" max="4867" width="23.5703125" style="180" customWidth="1"/>
    <col min="4868" max="4868" width="26.85546875" style="180" customWidth="1"/>
    <col min="4869" max="4869" width="16.140625" style="180" customWidth="1"/>
    <col min="4870" max="4870" width="15.42578125" style="180" customWidth="1"/>
    <col min="4871" max="4871" width="2.140625" style="180" customWidth="1"/>
    <col min="4872" max="4872" width="14" style="180" customWidth="1"/>
    <col min="4873" max="4873" width="2.140625" style="180" customWidth="1"/>
    <col min="4874" max="4874" width="15.42578125" style="180" customWidth="1"/>
    <col min="4875" max="4875" width="13.42578125" style="180" bestFit="1" customWidth="1"/>
    <col min="4876" max="5120" width="9.140625" style="180"/>
    <col min="5121" max="5121" width="13.85546875" style="180" customWidth="1"/>
    <col min="5122" max="5122" width="2.140625" style="180" customWidth="1"/>
    <col min="5123" max="5123" width="23.5703125" style="180" customWidth="1"/>
    <col min="5124" max="5124" width="26.85546875" style="180" customWidth="1"/>
    <col min="5125" max="5125" width="16.140625" style="180" customWidth="1"/>
    <col min="5126" max="5126" width="15.42578125" style="180" customWidth="1"/>
    <col min="5127" max="5127" width="2.140625" style="180" customWidth="1"/>
    <col min="5128" max="5128" width="14" style="180" customWidth="1"/>
    <col min="5129" max="5129" width="2.140625" style="180" customWidth="1"/>
    <col min="5130" max="5130" width="15.42578125" style="180" customWidth="1"/>
    <col min="5131" max="5131" width="13.42578125" style="180" bestFit="1" customWidth="1"/>
    <col min="5132" max="5376" width="9.140625" style="180"/>
    <col min="5377" max="5377" width="13.85546875" style="180" customWidth="1"/>
    <col min="5378" max="5378" width="2.140625" style="180" customWidth="1"/>
    <col min="5379" max="5379" width="23.5703125" style="180" customWidth="1"/>
    <col min="5380" max="5380" width="26.85546875" style="180" customWidth="1"/>
    <col min="5381" max="5381" width="16.140625" style="180" customWidth="1"/>
    <col min="5382" max="5382" width="15.42578125" style="180" customWidth="1"/>
    <col min="5383" max="5383" width="2.140625" style="180" customWidth="1"/>
    <col min="5384" max="5384" width="14" style="180" customWidth="1"/>
    <col min="5385" max="5385" width="2.140625" style="180" customWidth="1"/>
    <col min="5386" max="5386" width="15.42578125" style="180" customWidth="1"/>
    <col min="5387" max="5387" width="13.42578125" style="180" bestFit="1" customWidth="1"/>
    <col min="5388" max="5632" width="9.140625" style="180"/>
    <col min="5633" max="5633" width="13.85546875" style="180" customWidth="1"/>
    <col min="5634" max="5634" width="2.140625" style="180" customWidth="1"/>
    <col min="5635" max="5635" width="23.5703125" style="180" customWidth="1"/>
    <col min="5636" max="5636" width="26.85546875" style="180" customWidth="1"/>
    <col min="5637" max="5637" width="16.140625" style="180" customWidth="1"/>
    <col min="5638" max="5638" width="15.42578125" style="180" customWidth="1"/>
    <col min="5639" max="5639" width="2.140625" style="180" customWidth="1"/>
    <col min="5640" max="5640" width="14" style="180" customWidth="1"/>
    <col min="5641" max="5641" width="2.140625" style="180" customWidth="1"/>
    <col min="5642" max="5642" width="15.42578125" style="180" customWidth="1"/>
    <col min="5643" max="5643" width="13.42578125" style="180" bestFit="1" customWidth="1"/>
    <col min="5644" max="5888" width="9.140625" style="180"/>
    <col min="5889" max="5889" width="13.85546875" style="180" customWidth="1"/>
    <col min="5890" max="5890" width="2.140625" style="180" customWidth="1"/>
    <col min="5891" max="5891" width="23.5703125" style="180" customWidth="1"/>
    <col min="5892" max="5892" width="26.85546875" style="180" customWidth="1"/>
    <col min="5893" max="5893" width="16.140625" style="180" customWidth="1"/>
    <col min="5894" max="5894" width="15.42578125" style="180" customWidth="1"/>
    <col min="5895" max="5895" width="2.140625" style="180" customWidth="1"/>
    <col min="5896" max="5896" width="14" style="180" customWidth="1"/>
    <col min="5897" max="5897" width="2.140625" style="180" customWidth="1"/>
    <col min="5898" max="5898" width="15.42578125" style="180" customWidth="1"/>
    <col min="5899" max="5899" width="13.42578125" style="180" bestFit="1" customWidth="1"/>
    <col min="5900" max="6144" width="9.140625" style="180"/>
    <col min="6145" max="6145" width="13.85546875" style="180" customWidth="1"/>
    <col min="6146" max="6146" width="2.140625" style="180" customWidth="1"/>
    <col min="6147" max="6147" width="23.5703125" style="180" customWidth="1"/>
    <col min="6148" max="6148" width="26.85546875" style="180" customWidth="1"/>
    <col min="6149" max="6149" width="16.140625" style="180" customWidth="1"/>
    <col min="6150" max="6150" width="15.42578125" style="180" customWidth="1"/>
    <col min="6151" max="6151" width="2.140625" style="180" customWidth="1"/>
    <col min="6152" max="6152" width="14" style="180" customWidth="1"/>
    <col min="6153" max="6153" width="2.140625" style="180" customWidth="1"/>
    <col min="6154" max="6154" width="15.42578125" style="180" customWidth="1"/>
    <col min="6155" max="6155" width="13.42578125" style="180" bestFit="1" customWidth="1"/>
    <col min="6156" max="6400" width="9.140625" style="180"/>
    <col min="6401" max="6401" width="13.85546875" style="180" customWidth="1"/>
    <col min="6402" max="6402" width="2.140625" style="180" customWidth="1"/>
    <col min="6403" max="6403" width="23.5703125" style="180" customWidth="1"/>
    <col min="6404" max="6404" width="26.85546875" style="180" customWidth="1"/>
    <col min="6405" max="6405" width="16.140625" style="180" customWidth="1"/>
    <col min="6406" max="6406" width="15.42578125" style="180" customWidth="1"/>
    <col min="6407" max="6407" width="2.140625" style="180" customWidth="1"/>
    <col min="6408" max="6408" width="14" style="180" customWidth="1"/>
    <col min="6409" max="6409" width="2.140625" style="180" customWidth="1"/>
    <col min="6410" max="6410" width="15.42578125" style="180" customWidth="1"/>
    <col min="6411" max="6411" width="13.42578125" style="180" bestFit="1" customWidth="1"/>
    <col min="6412" max="6656" width="9.140625" style="180"/>
    <col min="6657" max="6657" width="13.85546875" style="180" customWidth="1"/>
    <col min="6658" max="6658" width="2.140625" style="180" customWidth="1"/>
    <col min="6659" max="6659" width="23.5703125" style="180" customWidth="1"/>
    <col min="6660" max="6660" width="26.85546875" style="180" customWidth="1"/>
    <col min="6661" max="6661" width="16.140625" style="180" customWidth="1"/>
    <col min="6662" max="6662" width="15.42578125" style="180" customWidth="1"/>
    <col min="6663" max="6663" width="2.140625" style="180" customWidth="1"/>
    <col min="6664" max="6664" width="14" style="180" customWidth="1"/>
    <col min="6665" max="6665" width="2.140625" style="180" customWidth="1"/>
    <col min="6666" max="6666" width="15.42578125" style="180" customWidth="1"/>
    <col min="6667" max="6667" width="13.42578125" style="180" bestFit="1" customWidth="1"/>
    <col min="6668" max="6912" width="9.140625" style="180"/>
    <col min="6913" max="6913" width="13.85546875" style="180" customWidth="1"/>
    <col min="6914" max="6914" width="2.140625" style="180" customWidth="1"/>
    <col min="6915" max="6915" width="23.5703125" style="180" customWidth="1"/>
    <col min="6916" max="6916" width="26.85546875" style="180" customWidth="1"/>
    <col min="6917" max="6917" width="16.140625" style="180" customWidth="1"/>
    <col min="6918" max="6918" width="15.42578125" style="180" customWidth="1"/>
    <col min="6919" max="6919" width="2.140625" style="180" customWidth="1"/>
    <col min="6920" max="6920" width="14" style="180" customWidth="1"/>
    <col min="6921" max="6921" width="2.140625" style="180" customWidth="1"/>
    <col min="6922" max="6922" width="15.42578125" style="180" customWidth="1"/>
    <col min="6923" max="6923" width="13.42578125" style="180" bestFit="1" customWidth="1"/>
    <col min="6924" max="7168" width="9.140625" style="180"/>
    <col min="7169" max="7169" width="13.85546875" style="180" customWidth="1"/>
    <col min="7170" max="7170" width="2.140625" style="180" customWidth="1"/>
    <col min="7171" max="7171" width="23.5703125" style="180" customWidth="1"/>
    <col min="7172" max="7172" width="26.85546875" style="180" customWidth="1"/>
    <col min="7173" max="7173" width="16.140625" style="180" customWidth="1"/>
    <col min="7174" max="7174" width="15.42578125" style="180" customWidth="1"/>
    <col min="7175" max="7175" width="2.140625" style="180" customWidth="1"/>
    <col min="7176" max="7176" width="14" style="180" customWidth="1"/>
    <col min="7177" max="7177" width="2.140625" style="180" customWidth="1"/>
    <col min="7178" max="7178" width="15.42578125" style="180" customWidth="1"/>
    <col min="7179" max="7179" width="13.42578125" style="180" bestFit="1" customWidth="1"/>
    <col min="7180" max="7424" width="9.140625" style="180"/>
    <col min="7425" max="7425" width="13.85546875" style="180" customWidth="1"/>
    <col min="7426" max="7426" width="2.140625" style="180" customWidth="1"/>
    <col min="7427" max="7427" width="23.5703125" style="180" customWidth="1"/>
    <col min="7428" max="7428" width="26.85546875" style="180" customWidth="1"/>
    <col min="7429" max="7429" width="16.140625" style="180" customWidth="1"/>
    <col min="7430" max="7430" width="15.42578125" style="180" customWidth="1"/>
    <col min="7431" max="7431" width="2.140625" style="180" customWidth="1"/>
    <col min="7432" max="7432" width="14" style="180" customWidth="1"/>
    <col min="7433" max="7433" width="2.140625" style="180" customWidth="1"/>
    <col min="7434" max="7434" width="15.42578125" style="180" customWidth="1"/>
    <col min="7435" max="7435" width="13.42578125" style="180" bestFit="1" customWidth="1"/>
    <col min="7436" max="7680" width="9.140625" style="180"/>
    <col min="7681" max="7681" width="13.85546875" style="180" customWidth="1"/>
    <col min="7682" max="7682" width="2.140625" style="180" customWidth="1"/>
    <col min="7683" max="7683" width="23.5703125" style="180" customWidth="1"/>
    <col min="7684" max="7684" width="26.85546875" style="180" customWidth="1"/>
    <col min="7685" max="7685" width="16.140625" style="180" customWidth="1"/>
    <col min="7686" max="7686" width="15.42578125" style="180" customWidth="1"/>
    <col min="7687" max="7687" width="2.140625" style="180" customWidth="1"/>
    <col min="7688" max="7688" width="14" style="180" customWidth="1"/>
    <col min="7689" max="7689" width="2.140625" style="180" customWidth="1"/>
    <col min="7690" max="7690" width="15.42578125" style="180" customWidth="1"/>
    <col min="7691" max="7691" width="13.42578125" style="180" bestFit="1" customWidth="1"/>
    <col min="7692" max="7936" width="9.140625" style="180"/>
    <col min="7937" max="7937" width="13.85546875" style="180" customWidth="1"/>
    <col min="7938" max="7938" width="2.140625" style="180" customWidth="1"/>
    <col min="7939" max="7939" width="23.5703125" style="180" customWidth="1"/>
    <col min="7940" max="7940" width="26.85546875" style="180" customWidth="1"/>
    <col min="7941" max="7941" width="16.140625" style="180" customWidth="1"/>
    <col min="7942" max="7942" width="15.42578125" style="180" customWidth="1"/>
    <col min="7943" max="7943" width="2.140625" style="180" customWidth="1"/>
    <col min="7944" max="7944" width="14" style="180" customWidth="1"/>
    <col min="7945" max="7945" width="2.140625" style="180" customWidth="1"/>
    <col min="7946" max="7946" width="15.42578125" style="180" customWidth="1"/>
    <col min="7947" max="7947" width="13.42578125" style="180" bestFit="1" customWidth="1"/>
    <col min="7948" max="8192" width="9.140625" style="180"/>
    <col min="8193" max="8193" width="13.85546875" style="180" customWidth="1"/>
    <col min="8194" max="8194" width="2.140625" style="180" customWidth="1"/>
    <col min="8195" max="8195" width="23.5703125" style="180" customWidth="1"/>
    <col min="8196" max="8196" width="26.85546875" style="180" customWidth="1"/>
    <col min="8197" max="8197" width="16.140625" style="180" customWidth="1"/>
    <col min="8198" max="8198" width="15.42578125" style="180" customWidth="1"/>
    <col min="8199" max="8199" width="2.140625" style="180" customWidth="1"/>
    <col min="8200" max="8200" width="14" style="180" customWidth="1"/>
    <col min="8201" max="8201" width="2.140625" style="180" customWidth="1"/>
    <col min="8202" max="8202" width="15.42578125" style="180" customWidth="1"/>
    <col min="8203" max="8203" width="13.42578125" style="180" bestFit="1" customWidth="1"/>
    <col min="8204" max="8448" width="9.140625" style="180"/>
    <col min="8449" max="8449" width="13.85546875" style="180" customWidth="1"/>
    <col min="8450" max="8450" width="2.140625" style="180" customWidth="1"/>
    <col min="8451" max="8451" width="23.5703125" style="180" customWidth="1"/>
    <col min="8452" max="8452" width="26.85546875" style="180" customWidth="1"/>
    <col min="8453" max="8453" width="16.140625" style="180" customWidth="1"/>
    <col min="8454" max="8454" width="15.42578125" style="180" customWidth="1"/>
    <col min="8455" max="8455" width="2.140625" style="180" customWidth="1"/>
    <col min="8456" max="8456" width="14" style="180" customWidth="1"/>
    <col min="8457" max="8457" width="2.140625" style="180" customWidth="1"/>
    <col min="8458" max="8458" width="15.42578125" style="180" customWidth="1"/>
    <col min="8459" max="8459" width="13.42578125" style="180" bestFit="1" customWidth="1"/>
    <col min="8460" max="8704" width="9.140625" style="180"/>
    <col min="8705" max="8705" width="13.85546875" style="180" customWidth="1"/>
    <col min="8706" max="8706" width="2.140625" style="180" customWidth="1"/>
    <col min="8707" max="8707" width="23.5703125" style="180" customWidth="1"/>
    <col min="8708" max="8708" width="26.85546875" style="180" customWidth="1"/>
    <col min="8709" max="8709" width="16.140625" style="180" customWidth="1"/>
    <col min="8710" max="8710" width="15.42578125" style="180" customWidth="1"/>
    <col min="8711" max="8711" width="2.140625" style="180" customWidth="1"/>
    <col min="8712" max="8712" width="14" style="180" customWidth="1"/>
    <col min="8713" max="8713" width="2.140625" style="180" customWidth="1"/>
    <col min="8714" max="8714" width="15.42578125" style="180" customWidth="1"/>
    <col min="8715" max="8715" width="13.42578125" style="180" bestFit="1" customWidth="1"/>
    <col min="8716" max="8960" width="9.140625" style="180"/>
    <col min="8961" max="8961" width="13.85546875" style="180" customWidth="1"/>
    <col min="8962" max="8962" width="2.140625" style="180" customWidth="1"/>
    <col min="8963" max="8963" width="23.5703125" style="180" customWidth="1"/>
    <col min="8964" max="8964" width="26.85546875" style="180" customWidth="1"/>
    <col min="8965" max="8965" width="16.140625" style="180" customWidth="1"/>
    <col min="8966" max="8966" width="15.42578125" style="180" customWidth="1"/>
    <col min="8967" max="8967" width="2.140625" style="180" customWidth="1"/>
    <col min="8968" max="8968" width="14" style="180" customWidth="1"/>
    <col min="8969" max="8969" width="2.140625" style="180" customWidth="1"/>
    <col min="8970" max="8970" width="15.42578125" style="180" customWidth="1"/>
    <col min="8971" max="8971" width="13.42578125" style="180" bestFit="1" customWidth="1"/>
    <col min="8972" max="9216" width="9.140625" style="180"/>
    <col min="9217" max="9217" width="13.85546875" style="180" customWidth="1"/>
    <col min="9218" max="9218" width="2.140625" style="180" customWidth="1"/>
    <col min="9219" max="9219" width="23.5703125" style="180" customWidth="1"/>
    <col min="9220" max="9220" width="26.85546875" style="180" customWidth="1"/>
    <col min="9221" max="9221" width="16.140625" style="180" customWidth="1"/>
    <col min="9222" max="9222" width="15.42578125" style="180" customWidth="1"/>
    <col min="9223" max="9223" width="2.140625" style="180" customWidth="1"/>
    <col min="9224" max="9224" width="14" style="180" customWidth="1"/>
    <col min="9225" max="9225" width="2.140625" style="180" customWidth="1"/>
    <col min="9226" max="9226" width="15.42578125" style="180" customWidth="1"/>
    <col min="9227" max="9227" width="13.42578125" style="180" bestFit="1" customWidth="1"/>
    <col min="9228" max="9472" width="9.140625" style="180"/>
    <col min="9473" max="9473" width="13.85546875" style="180" customWidth="1"/>
    <col min="9474" max="9474" width="2.140625" style="180" customWidth="1"/>
    <col min="9475" max="9475" width="23.5703125" style="180" customWidth="1"/>
    <col min="9476" max="9476" width="26.85546875" style="180" customWidth="1"/>
    <col min="9477" max="9477" width="16.140625" style="180" customWidth="1"/>
    <col min="9478" max="9478" width="15.42578125" style="180" customWidth="1"/>
    <col min="9479" max="9479" width="2.140625" style="180" customWidth="1"/>
    <col min="9480" max="9480" width="14" style="180" customWidth="1"/>
    <col min="9481" max="9481" width="2.140625" style="180" customWidth="1"/>
    <col min="9482" max="9482" width="15.42578125" style="180" customWidth="1"/>
    <col min="9483" max="9483" width="13.42578125" style="180" bestFit="1" customWidth="1"/>
    <col min="9484" max="9728" width="9.140625" style="180"/>
    <col min="9729" max="9729" width="13.85546875" style="180" customWidth="1"/>
    <col min="9730" max="9730" width="2.140625" style="180" customWidth="1"/>
    <col min="9731" max="9731" width="23.5703125" style="180" customWidth="1"/>
    <col min="9732" max="9732" width="26.85546875" style="180" customWidth="1"/>
    <col min="9733" max="9733" width="16.140625" style="180" customWidth="1"/>
    <col min="9734" max="9734" width="15.42578125" style="180" customWidth="1"/>
    <col min="9735" max="9735" width="2.140625" style="180" customWidth="1"/>
    <col min="9736" max="9736" width="14" style="180" customWidth="1"/>
    <col min="9737" max="9737" width="2.140625" style="180" customWidth="1"/>
    <col min="9738" max="9738" width="15.42578125" style="180" customWidth="1"/>
    <col min="9739" max="9739" width="13.42578125" style="180" bestFit="1" customWidth="1"/>
    <col min="9740" max="9984" width="9.140625" style="180"/>
    <col min="9985" max="9985" width="13.85546875" style="180" customWidth="1"/>
    <col min="9986" max="9986" width="2.140625" style="180" customWidth="1"/>
    <col min="9987" max="9987" width="23.5703125" style="180" customWidth="1"/>
    <col min="9988" max="9988" width="26.85546875" style="180" customWidth="1"/>
    <col min="9989" max="9989" width="16.140625" style="180" customWidth="1"/>
    <col min="9990" max="9990" width="15.42578125" style="180" customWidth="1"/>
    <col min="9991" max="9991" width="2.140625" style="180" customWidth="1"/>
    <col min="9992" max="9992" width="14" style="180" customWidth="1"/>
    <col min="9993" max="9993" width="2.140625" style="180" customWidth="1"/>
    <col min="9994" max="9994" width="15.42578125" style="180" customWidth="1"/>
    <col min="9995" max="9995" width="13.42578125" style="180" bestFit="1" customWidth="1"/>
    <col min="9996" max="10240" width="9.140625" style="180"/>
    <col min="10241" max="10241" width="13.85546875" style="180" customWidth="1"/>
    <col min="10242" max="10242" width="2.140625" style="180" customWidth="1"/>
    <col min="10243" max="10243" width="23.5703125" style="180" customWidth="1"/>
    <col min="10244" max="10244" width="26.85546875" style="180" customWidth="1"/>
    <col min="10245" max="10245" width="16.140625" style="180" customWidth="1"/>
    <col min="10246" max="10246" width="15.42578125" style="180" customWidth="1"/>
    <col min="10247" max="10247" width="2.140625" style="180" customWidth="1"/>
    <col min="10248" max="10248" width="14" style="180" customWidth="1"/>
    <col min="10249" max="10249" width="2.140625" style="180" customWidth="1"/>
    <col min="10250" max="10250" width="15.42578125" style="180" customWidth="1"/>
    <col min="10251" max="10251" width="13.42578125" style="180" bestFit="1" customWidth="1"/>
    <col min="10252" max="10496" width="9.140625" style="180"/>
    <col min="10497" max="10497" width="13.85546875" style="180" customWidth="1"/>
    <col min="10498" max="10498" width="2.140625" style="180" customWidth="1"/>
    <col min="10499" max="10499" width="23.5703125" style="180" customWidth="1"/>
    <col min="10500" max="10500" width="26.85546875" style="180" customWidth="1"/>
    <col min="10501" max="10501" width="16.140625" style="180" customWidth="1"/>
    <col min="10502" max="10502" width="15.42578125" style="180" customWidth="1"/>
    <col min="10503" max="10503" width="2.140625" style="180" customWidth="1"/>
    <col min="10504" max="10504" width="14" style="180" customWidth="1"/>
    <col min="10505" max="10505" width="2.140625" style="180" customWidth="1"/>
    <col min="10506" max="10506" width="15.42578125" style="180" customWidth="1"/>
    <col min="10507" max="10507" width="13.42578125" style="180" bestFit="1" customWidth="1"/>
    <col min="10508" max="10752" width="9.140625" style="180"/>
    <col min="10753" max="10753" width="13.85546875" style="180" customWidth="1"/>
    <col min="10754" max="10754" width="2.140625" style="180" customWidth="1"/>
    <col min="10755" max="10755" width="23.5703125" style="180" customWidth="1"/>
    <col min="10756" max="10756" width="26.85546875" style="180" customWidth="1"/>
    <col min="10757" max="10757" width="16.140625" style="180" customWidth="1"/>
    <col min="10758" max="10758" width="15.42578125" style="180" customWidth="1"/>
    <col min="10759" max="10759" width="2.140625" style="180" customWidth="1"/>
    <col min="10760" max="10760" width="14" style="180" customWidth="1"/>
    <col min="10761" max="10761" width="2.140625" style="180" customWidth="1"/>
    <col min="10762" max="10762" width="15.42578125" style="180" customWidth="1"/>
    <col min="10763" max="10763" width="13.42578125" style="180" bestFit="1" customWidth="1"/>
    <col min="10764" max="11008" width="9.140625" style="180"/>
    <col min="11009" max="11009" width="13.85546875" style="180" customWidth="1"/>
    <col min="11010" max="11010" width="2.140625" style="180" customWidth="1"/>
    <col min="11011" max="11011" width="23.5703125" style="180" customWidth="1"/>
    <col min="11012" max="11012" width="26.85546875" style="180" customWidth="1"/>
    <col min="11013" max="11013" width="16.140625" style="180" customWidth="1"/>
    <col min="11014" max="11014" width="15.42578125" style="180" customWidth="1"/>
    <col min="11015" max="11015" width="2.140625" style="180" customWidth="1"/>
    <col min="11016" max="11016" width="14" style="180" customWidth="1"/>
    <col min="11017" max="11017" width="2.140625" style="180" customWidth="1"/>
    <col min="11018" max="11018" width="15.42578125" style="180" customWidth="1"/>
    <col min="11019" max="11019" width="13.42578125" style="180" bestFit="1" customWidth="1"/>
    <col min="11020" max="11264" width="9.140625" style="180"/>
    <col min="11265" max="11265" width="13.85546875" style="180" customWidth="1"/>
    <col min="11266" max="11266" width="2.140625" style="180" customWidth="1"/>
    <col min="11267" max="11267" width="23.5703125" style="180" customWidth="1"/>
    <col min="11268" max="11268" width="26.85546875" style="180" customWidth="1"/>
    <col min="11269" max="11269" width="16.140625" style="180" customWidth="1"/>
    <col min="11270" max="11270" width="15.42578125" style="180" customWidth="1"/>
    <col min="11271" max="11271" width="2.140625" style="180" customWidth="1"/>
    <col min="11272" max="11272" width="14" style="180" customWidth="1"/>
    <col min="11273" max="11273" width="2.140625" style="180" customWidth="1"/>
    <col min="11274" max="11274" width="15.42578125" style="180" customWidth="1"/>
    <col min="11275" max="11275" width="13.42578125" style="180" bestFit="1" customWidth="1"/>
    <col min="11276" max="11520" width="9.140625" style="180"/>
    <col min="11521" max="11521" width="13.85546875" style="180" customWidth="1"/>
    <col min="11522" max="11522" width="2.140625" style="180" customWidth="1"/>
    <col min="11523" max="11523" width="23.5703125" style="180" customWidth="1"/>
    <col min="11524" max="11524" width="26.85546875" style="180" customWidth="1"/>
    <col min="11525" max="11525" width="16.140625" style="180" customWidth="1"/>
    <col min="11526" max="11526" width="15.42578125" style="180" customWidth="1"/>
    <col min="11527" max="11527" width="2.140625" style="180" customWidth="1"/>
    <col min="11528" max="11528" width="14" style="180" customWidth="1"/>
    <col min="11529" max="11529" width="2.140625" style="180" customWidth="1"/>
    <col min="11530" max="11530" width="15.42578125" style="180" customWidth="1"/>
    <col min="11531" max="11531" width="13.42578125" style="180" bestFit="1" customWidth="1"/>
    <col min="11532" max="11776" width="9.140625" style="180"/>
    <col min="11777" max="11777" width="13.85546875" style="180" customWidth="1"/>
    <col min="11778" max="11778" width="2.140625" style="180" customWidth="1"/>
    <col min="11779" max="11779" width="23.5703125" style="180" customWidth="1"/>
    <col min="11780" max="11780" width="26.85546875" style="180" customWidth="1"/>
    <col min="11781" max="11781" width="16.140625" style="180" customWidth="1"/>
    <col min="11782" max="11782" width="15.42578125" style="180" customWidth="1"/>
    <col min="11783" max="11783" width="2.140625" style="180" customWidth="1"/>
    <col min="11784" max="11784" width="14" style="180" customWidth="1"/>
    <col min="11785" max="11785" width="2.140625" style="180" customWidth="1"/>
    <col min="11786" max="11786" width="15.42578125" style="180" customWidth="1"/>
    <col min="11787" max="11787" width="13.42578125" style="180" bestFit="1" customWidth="1"/>
    <col min="11788" max="12032" width="9.140625" style="180"/>
    <col min="12033" max="12033" width="13.85546875" style="180" customWidth="1"/>
    <col min="12034" max="12034" width="2.140625" style="180" customWidth="1"/>
    <col min="12035" max="12035" width="23.5703125" style="180" customWidth="1"/>
    <col min="12036" max="12036" width="26.85546875" style="180" customWidth="1"/>
    <col min="12037" max="12037" width="16.140625" style="180" customWidth="1"/>
    <col min="12038" max="12038" width="15.42578125" style="180" customWidth="1"/>
    <col min="12039" max="12039" width="2.140625" style="180" customWidth="1"/>
    <col min="12040" max="12040" width="14" style="180" customWidth="1"/>
    <col min="12041" max="12041" width="2.140625" style="180" customWidth="1"/>
    <col min="12042" max="12042" width="15.42578125" style="180" customWidth="1"/>
    <col min="12043" max="12043" width="13.42578125" style="180" bestFit="1" customWidth="1"/>
    <col min="12044" max="12288" width="9.140625" style="180"/>
    <col min="12289" max="12289" width="13.85546875" style="180" customWidth="1"/>
    <col min="12290" max="12290" width="2.140625" style="180" customWidth="1"/>
    <col min="12291" max="12291" width="23.5703125" style="180" customWidth="1"/>
    <col min="12292" max="12292" width="26.85546875" style="180" customWidth="1"/>
    <col min="12293" max="12293" width="16.140625" style="180" customWidth="1"/>
    <col min="12294" max="12294" width="15.42578125" style="180" customWidth="1"/>
    <col min="12295" max="12295" width="2.140625" style="180" customWidth="1"/>
    <col min="12296" max="12296" width="14" style="180" customWidth="1"/>
    <col min="12297" max="12297" width="2.140625" style="180" customWidth="1"/>
    <col min="12298" max="12298" width="15.42578125" style="180" customWidth="1"/>
    <col min="12299" max="12299" width="13.42578125" style="180" bestFit="1" customWidth="1"/>
    <col min="12300" max="12544" width="9.140625" style="180"/>
    <col min="12545" max="12545" width="13.85546875" style="180" customWidth="1"/>
    <col min="12546" max="12546" width="2.140625" style="180" customWidth="1"/>
    <col min="12547" max="12547" width="23.5703125" style="180" customWidth="1"/>
    <col min="12548" max="12548" width="26.85546875" style="180" customWidth="1"/>
    <col min="12549" max="12549" width="16.140625" style="180" customWidth="1"/>
    <col min="12550" max="12550" width="15.42578125" style="180" customWidth="1"/>
    <col min="12551" max="12551" width="2.140625" style="180" customWidth="1"/>
    <col min="12552" max="12552" width="14" style="180" customWidth="1"/>
    <col min="12553" max="12553" width="2.140625" style="180" customWidth="1"/>
    <col min="12554" max="12554" width="15.42578125" style="180" customWidth="1"/>
    <col min="12555" max="12555" width="13.42578125" style="180" bestFit="1" customWidth="1"/>
    <col min="12556" max="12800" width="9.140625" style="180"/>
    <col min="12801" max="12801" width="13.85546875" style="180" customWidth="1"/>
    <col min="12802" max="12802" width="2.140625" style="180" customWidth="1"/>
    <col min="12803" max="12803" width="23.5703125" style="180" customWidth="1"/>
    <col min="12804" max="12804" width="26.85546875" style="180" customWidth="1"/>
    <col min="12805" max="12805" width="16.140625" style="180" customWidth="1"/>
    <col min="12806" max="12806" width="15.42578125" style="180" customWidth="1"/>
    <col min="12807" max="12807" width="2.140625" style="180" customWidth="1"/>
    <col min="12808" max="12808" width="14" style="180" customWidth="1"/>
    <col min="12809" max="12809" width="2.140625" style="180" customWidth="1"/>
    <col min="12810" max="12810" width="15.42578125" style="180" customWidth="1"/>
    <col min="12811" max="12811" width="13.42578125" style="180" bestFit="1" customWidth="1"/>
    <col min="12812" max="13056" width="9.140625" style="180"/>
    <col min="13057" max="13057" width="13.85546875" style="180" customWidth="1"/>
    <col min="13058" max="13058" width="2.140625" style="180" customWidth="1"/>
    <col min="13059" max="13059" width="23.5703125" style="180" customWidth="1"/>
    <col min="13060" max="13060" width="26.85546875" style="180" customWidth="1"/>
    <col min="13061" max="13061" width="16.140625" style="180" customWidth="1"/>
    <col min="13062" max="13062" width="15.42578125" style="180" customWidth="1"/>
    <col min="13063" max="13063" width="2.140625" style="180" customWidth="1"/>
    <col min="13064" max="13064" width="14" style="180" customWidth="1"/>
    <col min="13065" max="13065" width="2.140625" style="180" customWidth="1"/>
    <col min="13066" max="13066" width="15.42578125" style="180" customWidth="1"/>
    <col min="13067" max="13067" width="13.42578125" style="180" bestFit="1" customWidth="1"/>
    <col min="13068" max="13312" width="9.140625" style="180"/>
    <col min="13313" max="13313" width="13.85546875" style="180" customWidth="1"/>
    <col min="13314" max="13314" width="2.140625" style="180" customWidth="1"/>
    <col min="13315" max="13315" width="23.5703125" style="180" customWidth="1"/>
    <col min="13316" max="13316" width="26.85546875" style="180" customWidth="1"/>
    <col min="13317" max="13317" width="16.140625" style="180" customWidth="1"/>
    <col min="13318" max="13318" width="15.42578125" style="180" customWidth="1"/>
    <col min="13319" max="13319" width="2.140625" style="180" customWidth="1"/>
    <col min="13320" max="13320" width="14" style="180" customWidth="1"/>
    <col min="13321" max="13321" width="2.140625" style="180" customWidth="1"/>
    <col min="13322" max="13322" width="15.42578125" style="180" customWidth="1"/>
    <col min="13323" max="13323" width="13.42578125" style="180" bestFit="1" customWidth="1"/>
    <col min="13324" max="13568" width="9.140625" style="180"/>
    <col min="13569" max="13569" width="13.85546875" style="180" customWidth="1"/>
    <col min="13570" max="13570" width="2.140625" style="180" customWidth="1"/>
    <col min="13571" max="13571" width="23.5703125" style="180" customWidth="1"/>
    <col min="13572" max="13572" width="26.85546875" style="180" customWidth="1"/>
    <col min="13573" max="13573" width="16.140625" style="180" customWidth="1"/>
    <col min="13574" max="13574" width="15.42578125" style="180" customWidth="1"/>
    <col min="13575" max="13575" width="2.140625" style="180" customWidth="1"/>
    <col min="13576" max="13576" width="14" style="180" customWidth="1"/>
    <col min="13577" max="13577" width="2.140625" style="180" customWidth="1"/>
    <col min="13578" max="13578" width="15.42578125" style="180" customWidth="1"/>
    <col min="13579" max="13579" width="13.42578125" style="180" bestFit="1" customWidth="1"/>
    <col min="13580" max="13824" width="9.140625" style="180"/>
    <col min="13825" max="13825" width="13.85546875" style="180" customWidth="1"/>
    <col min="13826" max="13826" width="2.140625" style="180" customWidth="1"/>
    <col min="13827" max="13827" width="23.5703125" style="180" customWidth="1"/>
    <col min="13828" max="13828" width="26.85546875" style="180" customWidth="1"/>
    <col min="13829" max="13829" width="16.140625" style="180" customWidth="1"/>
    <col min="13830" max="13830" width="15.42578125" style="180" customWidth="1"/>
    <col min="13831" max="13831" width="2.140625" style="180" customWidth="1"/>
    <col min="13832" max="13832" width="14" style="180" customWidth="1"/>
    <col min="13833" max="13833" width="2.140625" style="180" customWidth="1"/>
    <col min="13834" max="13834" width="15.42578125" style="180" customWidth="1"/>
    <col min="13835" max="13835" width="13.42578125" style="180" bestFit="1" customWidth="1"/>
    <col min="13836" max="14080" width="9.140625" style="180"/>
    <col min="14081" max="14081" width="13.85546875" style="180" customWidth="1"/>
    <col min="14082" max="14082" width="2.140625" style="180" customWidth="1"/>
    <col min="14083" max="14083" width="23.5703125" style="180" customWidth="1"/>
    <col min="14084" max="14084" width="26.85546875" style="180" customWidth="1"/>
    <col min="14085" max="14085" width="16.140625" style="180" customWidth="1"/>
    <col min="14086" max="14086" width="15.42578125" style="180" customWidth="1"/>
    <col min="14087" max="14087" width="2.140625" style="180" customWidth="1"/>
    <col min="14088" max="14088" width="14" style="180" customWidth="1"/>
    <col min="14089" max="14089" width="2.140625" style="180" customWidth="1"/>
    <col min="14090" max="14090" width="15.42578125" style="180" customWidth="1"/>
    <col min="14091" max="14091" width="13.42578125" style="180" bestFit="1" customWidth="1"/>
    <col min="14092" max="14336" width="9.140625" style="180"/>
    <col min="14337" max="14337" width="13.85546875" style="180" customWidth="1"/>
    <col min="14338" max="14338" width="2.140625" style="180" customWidth="1"/>
    <col min="14339" max="14339" width="23.5703125" style="180" customWidth="1"/>
    <col min="14340" max="14340" width="26.85546875" style="180" customWidth="1"/>
    <col min="14341" max="14341" width="16.140625" style="180" customWidth="1"/>
    <col min="14342" max="14342" width="15.42578125" style="180" customWidth="1"/>
    <col min="14343" max="14343" width="2.140625" style="180" customWidth="1"/>
    <col min="14344" max="14344" width="14" style="180" customWidth="1"/>
    <col min="14345" max="14345" width="2.140625" style="180" customWidth="1"/>
    <col min="14346" max="14346" width="15.42578125" style="180" customWidth="1"/>
    <col min="14347" max="14347" width="13.42578125" style="180" bestFit="1" customWidth="1"/>
    <col min="14348" max="14592" width="9.140625" style="180"/>
    <col min="14593" max="14593" width="13.85546875" style="180" customWidth="1"/>
    <col min="14594" max="14594" width="2.140625" style="180" customWidth="1"/>
    <col min="14595" max="14595" width="23.5703125" style="180" customWidth="1"/>
    <col min="14596" max="14596" width="26.85546875" style="180" customWidth="1"/>
    <col min="14597" max="14597" width="16.140625" style="180" customWidth="1"/>
    <col min="14598" max="14598" width="15.42578125" style="180" customWidth="1"/>
    <col min="14599" max="14599" width="2.140625" style="180" customWidth="1"/>
    <col min="14600" max="14600" width="14" style="180" customWidth="1"/>
    <col min="14601" max="14601" width="2.140625" style="180" customWidth="1"/>
    <col min="14602" max="14602" width="15.42578125" style="180" customWidth="1"/>
    <col min="14603" max="14603" width="13.42578125" style="180" bestFit="1" customWidth="1"/>
    <col min="14604" max="14848" width="9.140625" style="180"/>
    <col min="14849" max="14849" width="13.85546875" style="180" customWidth="1"/>
    <col min="14850" max="14850" width="2.140625" style="180" customWidth="1"/>
    <col min="14851" max="14851" width="23.5703125" style="180" customWidth="1"/>
    <col min="14852" max="14852" width="26.85546875" style="180" customWidth="1"/>
    <col min="14853" max="14853" width="16.140625" style="180" customWidth="1"/>
    <col min="14854" max="14854" width="15.42578125" style="180" customWidth="1"/>
    <col min="14855" max="14855" width="2.140625" style="180" customWidth="1"/>
    <col min="14856" max="14856" width="14" style="180" customWidth="1"/>
    <col min="14857" max="14857" width="2.140625" style="180" customWidth="1"/>
    <col min="14858" max="14858" width="15.42578125" style="180" customWidth="1"/>
    <col min="14859" max="14859" width="13.42578125" style="180" bestFit="1" customWidth="1"/>
    <col min="14860" max="15104" width="9.140625" style="180"/>
    <col min="15105" max="15105" width="13.85546875" style="180" customWidth="1"/>
    <col min="15106" max="15106" width="2.140625" style="180" customWidth="1"/>
    <col min="15107" max="15107" width="23.5703125" style="180" customWidth="1"/>
    <col min="15108" max="15108" width="26.85546875" style="180" customWidth="1"/>
    <col min="15109" max="15109" width="16.140625" style="180" customWidth="1"/>
    <col min="15110" max="15110" width="15.42578125" style="180" customWidth="1"/>
    <col min="15111" max="15111" width="2.140625" style="180" customWidth="1"/>
    <col min="15112" max="15112" width="14" style="180" customWidth="1"/>
    <col min="15113" max="15113" width="2.140625" style="180" customWidth="1"/>
    <col min="15114" max="15114" width="15.42578125" style="180" customWidth="1"/>
    <col min="15115" max="15115" width="13.42578125" style="180" bestFit="1" customWidth="1"/>
    <col min="15116" max="15360" width="9.140625" style="180"/>
    <col min="15361" max="15361" width="13.85546875" style="180" customWidth="1"/>
    <col min="15362" max="15362" width="2.140625" style="180" customWidth="1"/>
    <col min="15363" max="15363" width="23.5703125" style="180" customWidth="1"/>
    <col min="15364" max="15364" width="26.85546875" style="180" customWidth="1"/>
    <col min="15365" max="15365" width="16.140625" style="180" customWidth="1"/>
    <col min="15366" max="15366" width="15.42578125" style="180" customWidth="1"/>
    <col min="15367" max="15367" width="2.140625" style="180" customWidth="1"/>
    <col min="15368" max="15368" width="14" style="180" customWidth="1"/>
    <col min="15369" max="15369" width="2.140625" style="180" customWidth="1"/>
    <col min="15370" max="15370" width="15.42578125" style="180" customWidth="1"/>
    <col min="15371" max="15371" width="13.42578125" style="180" bestFit="1" customWidth="1"/>
    <col min="15372" max="15616" width="9.140625" style="180"/>
    <col min="15617" max="15617" width="13.85546875" style="180" customWidth="1"/>
    <col min="15618" max="15618" width="2.140625" style="180" customWidth="1"/>
    <col min="15619" max="15619" width="23.5703125" style="180" customWidth="1"/>
    <col min="15620" max="15620" width="26.85546875" style="180" customWidth="1"/>
    <col min="15621" max="15621" width="16.140625" style="180" customWidth="1"/>
    <col min="15622" max="15622" width="15.42578125" style="180" customWidth="1"/>
    <col min="15623" max="15623" width="2.140625" style="180" customWidth="1"/>
    <col min="15624" max="15624" width="14" style="180" customWidth="1"/>
    <col min="15625" max="15625" width="2.140625" style="180" customWidth="1"/>
    <col min="15626" max="15626" width="15.42578125" style="180" customWidth="1"/>
    <col min="15627" max="15627" width="13.42578125" style="180" bestFit="1" customWidth="1"/>
    <col min="15628" max="15872" width="9.140625" style="180"/>
    <col min="15873" max="15873" width="13.85546875" style="180" customWidth="1"/>
    <col min="15874" max="15874" width="2.140625" style="180" customWidth="1"/>
    <col min="15875" max="15875" width="23.5703125" style="180" customWidth="1"/>
    <col min="15876" max="15876" width="26.85546875" style="180" customWidth="1"/>
    <col min="15877" max="15877" width="16.140625" style="180" customWidth="1"/>
    <col min="15878" max="15878" width="15.42578125" style="180" customWidth="1"/>
    <col min="15879" max="15879" width="2.140625" style="180" customWidth="1"/>
    <col min="15880" max="15880" width="14" style="180" customWidth="1"/>
    <col min="15881" max="15881" width="2.140625" style="180" customWidth="1"/>
    <col min="15882" max="15882" width="15.42578125" style="180" customWidth="1"/>
    <col min="15883" max="15883" width="13.42578125" style="180" bestFit="1" customWidth="1"/>
    <col min="15884" max="16128" width="9.140625" style="180"/>
    <col min="16129" max="16129" width="13.85546875" style="180" customWidth="1"/>
    <col min="16130" max="16130" width="2.140625" style="180" customWidth="1"/>
    <col min="16131" max="16131" width="23.5703125" style="180" customWidth="1"/>
    <col min="16132" max="16132" width="26.85546875" style="180" customWidth="1"/>
    <col min="16133" max="16133" width="16.140625" style="180" customWidth="1"/>
    <col min="16134" max="16134" width="15.42578125" style="180" customWidth="1"/>
    <col min="16135" max="16135" width="2.140625" style="180" customWidth="1"/>
    <col min="16136" max="16136" width="14" style="180" customWidth="1"/>
    <col min="16137" max="16137" width="2.140625" style="180" customWidth="1"/>
    <col min="16138" max="16138" width="15.42578125" style="180" customWidth="1"/>
    <col min="16139" max="16139" width="13.42578125" style="180" bestFit="1" customWidth="1"/>
    <col min="16140" max="16384" width="9.140625" style="180"/>
  </cols>
  <sheetData>
    <row r="1" spans="1:12" ht="23.1" customHeight="1" x14ac:dyDescent="0.2">
      <c r="A1" s="23" t="s">
        <v>55</v>
      </c>
      <c r="B1" s="23" t="s">
        <v>56</v>
      </c>
      <c r="E1" s="24" t="s">
        <v>57</v>
      </c>
      <c r="F1" s="24" t="s">
        <v>58</v>
      </c>
      <c r="H1" s="24" t="s">
        <v>59</v>
      </c>
      <c r="J1" s="24" t="s">
        <v>60</v>
      </c>
      <c r="K1" s="183" t="s">
        <v>61</v>
      </c>
    </row>
    <row r="2" spans="1:12" ht="15.95" customHeight="1" x14ac:dyDescent="0.2">
      <c r="A2" s="179">
        <v>1</v>
      </c>
      <c r="B2" s="369" t="s">
        <v>62</v>
      </c>
      <c r="C2" s="370"/>
      <c r="D2" s="370"/>
      <c r="E2" s="27">
        <v>312886843.25999999</v>
      </c>
      <c r="F2" s="27">
        <v>40377076.960000001</v>
      </c>
      <c r="H2" s="27">
        <v>41940537.350000001</v>
      </c>
      <c r="J2" s="27">
        <v>311323382.87</v>
      </c>
      <c r="K2" s="25">
        <f>J2-E2</f>
        <v>-1563460.3899999857</v>
      </c>
      <c r="L2" s="32">
        <f>K2/1000</f>
        <v>-1563.4603899999856</v>
      </c>
    </row>
    <row r="3" spans="1:12" ht="15.95" customHeight="1" x14ac:dyDescent="0.2">
      <c r="A3" s="179">
        <v>11</v>
      </c>
      <c r="B3" s="369" t="s">
        <v>63</v>
      </c>
      <c r="C3" s="370"/>
      <c r="D3" s="370"/>
      <c r="E3" s="27">
        <v>15705679.26</v>
      </c>
      <c r="F3" s="27">
        <v>39988253.909999996</v>
      </c>
      <c r="H3" s="27">
        <v>37801511.810000002</v>
      </c>
      <c r="J3" s="27">
        <v>17892421.359999999</v>
      </c>
      <c r="K3" s="25">
        <f t="shared" ref="K3:K66" si="0">J3-E3</f>
        <v>2186742.0999999996</v>
      </c>
      <c r="L3" s="32">
        <f t="shared" ref="L3:L66" si="1">K3/1000</f>
        <v>2186.7420999999995</v>
      </c>
    </row>
    <row r="4" spans="1:12" ht="15.95" customHeight="1" x14ac:dyDescent="0.2">
      <c r="A4" s="181">
        <v>111</v>
      </c>
      <c r="B4" s="371" t="s">
        <v>64</v>
      </c>
      <c r="C4" s="372"/>
      <c r="D4" s="372"/>
      <c r="E4" s="29">
        <v>8347380.6299999999</v>
      </c>
      <c r="F4" s="29">
        <v>19794777.23</v>
      </c>
      <c r="G4" s="182"/>
      <c r="H4" s="29">
        <v>18285008.670000002</v>
      </c>
      <c r="I4" s="182"/>
      <c r="J4" s="29">
        <v>9857149.1899999995</v>
      </c>
      <c r="K4" s="31">
        <f t="shared" si="0"/>
        <v>1509768.5599999996</v>
      </c>
      <c r="L4" s="202">
        <f t="shared" si="1"/>
        <v>1509.7685599999995</v>
      </c>
    </row>
    <row r="5" spans="1:12" ht="15.95" customHeight="1" x14ac:dyDescent="0.2">
      <c r="A5" s="179">
        <v>11101</v>
      </c>
      <c r="B5" s="369" t="s">
        <v>65</v>
      </c>
      <c r="C5" s="370"/>
      <c r="D5" s="370"/>
      <c r="E5" s="27">
        <v>500</v>
      </c>
      <c r="F5" s="27">
        <v>16376.5</v>
      </c>
      <c r="H5" s="27">
        <v>16189.05</v>
      </c>
      <c r="J5" s="27">
        <v>687.45</v>
      </c>
      <c r="K5" s="25">
        <f t="shared" si="0"/>
        <v>187.45000000000005</v>
      </c>
      <c r="L5" s="32">
        <f t="shared" si="1"/>
        <v>0.18745000000000003</v>
      </c>
    </row>
    <row r="6" spans="1:12" ht="15.95" customHeight="1" x14ac:dyDescent="0.2">
      <c r="A6" s="179">
        <v>1110101</v>
      </c>
      <c r="B6" s="369" t="s">
        <v>66</v>
      </c>
      <c r="C6" s="370"/>
      <c r="D6" s="370"/>
      <c r="E6" s="27">
        <v>500</v>
      </c>
      <c r="F6" s="27">
        <v>16376.5</v>
      </c>
      <c r="H6" s="27">
        <v>16189.05</v>
      </c>
      <c r="J6" s="27">
        <v>687.45</v>
      </c>
      <c r="K6" s="25">
        <f t="shared" si="0"/>
        <v>187.45000000000005</v>
      </c>
      <c r="L6" s="32">
        <f t="shared" si="1"/>
        <v>0.18745000000000003</v>
      </c>
    </row>
    <row r="7" spans="1:12" ht="15.95" customHeight="1" x14ac:dyDescent="0.2">
      <c r="A7" s="179">
        <v>11102</v>
      </c>
      <c r="B7" s="369" t="s">
        <v>69</v>
      </c>
      <c r="C7" s="370"/>
      <c r="D7" s="370"/>
      <c r="E7" s="27">
        <v>2002.42</v>
      </c>
      <c r="F7" s="27">
        <v>4021.58</v>
      </c>
      <c r="H7" s="27">
        <v>4014.58</v>
      </c>
      <c r="J7" s="27">
        <v>2009.42</v>
      </c>
      <c r="K7" s="25">
        <f t="shared" si="0"/>
        <v>7</v>
      </c>
      <c r="L7" s="32">
        <f t="shared" si="1"/>
        <v>7.0000000000000001E-3</v>
      </c>
    </row>
    <row r="8" spans="1:12" ht="15.95" customHeight="1" x14ac:dyDescent="0.2">
      <c r="A8" s="179">
        <v>1110204</v>
      </c>
      <c r="B8" s="369" t="s">
        <v>70</v>
      </c>
      <c r="C8" s="370"/>
      <c r="D8" s="370"/>
      <c r="E8" s="27">
        <v>2002.42</v>
      </c>
      <c r="F8" s="27">
        <v>4021.58</v>
      </c>
      <c r="H8" s="27">
        <v>4014.58</v>
      </c>
      <c r="J8" s="27">
        <v>2009.42</v>
      </c>
      <c r="K8" s="25">
        <f t="shared" si="0"/>
        <v>7</v>
      </c>
      <c r="L8" s="32">
        <f t="shared" si="1"/>
        <v>7.0000000000000001E-3</v>
      </c>
    </row>
    <row r="9" spans="1:12" ht="15.95" customHeight="1" x14ac:dyDescent="0.2">
      <c r="A9" s="179">
        <v>11103</v>
      </c>
      <c r="B9" s="369" t="s">
        <v>77</v>
      </c>
      <c r="C9" s="370"/>
      <c r="D9" s="370"/>
      <c r="E9" s="27">
        <v>942747.6</v>
      </c>
      <c r="F9" s="27">
        <v>17838220.989999998</v>
      </c>
      <c r="H9" s="27">
        <v>17611644.5</v>
      </c>
      <c r="J9" s="27">
        <v>1169324.0900000001</v>
      </c>
      <c r="K9" s="25">
        <f t="shared" si="0"/>
        <v>226576.49000000011</v>
      </c>
      <c r="L9" s="32">
        <f t="shared" si="1"/>
        <v>226.57649000000012</v>
      </c>
    </row>
    <row r="10" spans="1:12" ht="15.95" customHeight="1" x14ac:dyDescent="0.2">
      <c r="A10" s="179">
        <v>1110301</v>
      </c>
      <c r="B10" s="369" t="s">
        <v>78</v>
      </c>
      <c r="C10" s="370"/>
      <c r="D10" s="370"/>
      <c r="E10" s="27">
        <v>942747.6</v>
      </c>
      <c r="F10" s="27">
        <v>17838220.989999998</v>
      </c>
      <c r="H10" s="27">
        <v>17611644.5</v>
      </c>
      <c r="J10" s="27">
        <v>1169324.0900000001</v>
      </c>
      <c r="K10" s="25">
        <f t="shared" si="0"/>
        <v>226576.49000000011</v>
      </c>
      <c r="L10" s="32">
        <f t="shared" si="1"/>
        <v>226.57649000000012</v>
      </c>
    </row>
    <row r="11" spans="1:12" ht="15.95" customHeight="1" x14ac:dyDescent="0.2">
      <c r="A11" s="179">
        <v>11104</v>
      </c>
      <c r="B11" s="369" t="s">
        <v>81</v>
      </c>
      <c r="C11" s="370"/>
      <c r="D11" s="370"/>
      <c r="E11" s="27">
        <v>320.79000000000002</v>
      </c>
      <c r="F11" s="27">
        <v>1000</v>
      </c>
      <c r="H11" s="27">
        <v>1239.75</v>
      </c>
      <c r="J11" s="27">
        <v>81.040000000000006</v>
      </c>
      <c r="K11" s="25">
        <f t="shared" si="0"/>
        <v>-239.75</v>
      </c>
      <c r="L11" s="32">
        <f t="shared" si="1"/>
        <v>-0.23974999999999999</v>
      </c>
    </row>
    <row r="12" spans="1:12" ht="15.95" customHeight="1" x14ac:dyDescent="0.2">
      <c r="A12" s="179">
        <v>1110401</v>
      </c>
      <c r="B12" s="369" t="s">
        <v>82</v>
      </c>
      <c r="C12" s="370"/>
      <c r="D12" s="370"/>
      <c r="E12" s="27">
        <v>320.79000000000002</v>
      </c>
      <c r="F12" s="27">
        <v>1000</v>
      </c>
      <c r="H12" s="27">
        <v>1239.75</v>
      </c>
      <c r="J12" s="27">
        <v>81.040000000000006</v>
      </c>
      <c r="K12" s="25">
        <f t="shared" si="0"/>
        <v>-239.75</v>
      </c>
      <c r="L12" s="32">
        <f t="shared" si="1"/>
        <v>-0.23974999999999999</v>
      </c>
    </row>
    <row r="13" spans="1:12" ht="15.95" customHeight="1" x14ac:dyDescent="0.2">
      <c r="A13" s="179">
        <v>11105</v>
      </c>
      <c r="B13" s="369" t="s">
        <v>85</v>
      </c>
      <c r="C13" s="370"/>
      <c r="D13" s="370"/>
      <c r="E13" s="27">
        <v>792.51</v>
      </c>
      <c r="F13" s="27">
        <v>11.93</v>
      </c>
      <c r="H13" s="27">
        <v>1.03</v>
      </c>
      <c r="J13" s="27">
        <v>803.41</v>
      </c>
      <c r="K13" s="25">
        <f t="shared" si="0"/>
        <v>10.899999999999977</v>
      </c>
      <c r="L13" s="32">
        <f t="shared" si="1"/>
        <v>1.0899999999999977E-2</v>
      </c>
    </row>
    <row r="14" spans="1:12" ht="15.95" customHeight="1" x14ac:dyDescent="0.2">
      <c r="A14" s="179">
        <v>1110501</v>
      </c>
      <c r="B14" s="369" t="s">
        <v>78</v>
      </c>
      <c r="C14" s="370"/>
      <c r="D14" s="370"/>
      <c r="E14" s="27">
        <v>792.51</v>
      </c>
      <c r="F14" s="27">
        <v>11.93</v>
      </c>
      <c r="H14" s="27">
        <v>1.03</v>
      </c>
      <c r="J14" s="27">
        <v>803.41</v>
      </c>
      <c r="K14" s="25">
        <f t="shared" si="0"/>
        <v>10.899999999999977</v>
      </c>
      <c r="L14" s="32">
        <f t="shared" si="1"/>
        <v>1.0899999999999977E-2</v>
      </c>
    </row>
    <row r="15" spans="1:12" ht="15.95" customHeight="1" x14ac:dyDescent="0.2">
      <c r="A15" s="179">
        <v>11106</v>
      </c>
      <c r="B15" s="369" t="s">
        <v>90</v>
      </c>
      <c r="C15" s="370"/>
      <c r="D15" s="370"/>
      <c r="E15" s="27">
        <v>7401017.3099999996</v>
      </c>
      <c r="F15" s="27">
        <v>1935146.23</v>
      </c>
      <c r="H15" s="27">
        <v>651919.76</v>
      </c>
      <c r="J15" s="27">
        <v>8684243.7799999993</v>
      </c>
      <c r="K15" s="25">
        <f t="shared" si="0"/>
        <v>1283226.4699999997</v>
      </c>
      <c r="L15" s="32">
        <f t="shared" si="1"/>
        <v>1283.2264699999998</v>
      </c>
    </row>
    <row r="16" spans="1:12" ht="15.95" customHeight="1" x14ac:dyDescent="0.2">
      <c r="A16" s="179">
        <v>1110601</v>
      </c>
      <c r="B16" s="369" t="s">
        <v>78</v>
      </c>
      <c r="C16" s="370"/>
      <c r="D16" s="370"/>
      <c r="E16" s="27">
        <v>7401017.3099999996</v>
      </c>
      <c r="F16" s="27">
        <v>1935146.23</v>
      </c>
      <c r="H16" s="27">
        <v>651919.76</v>
      </c>
      <c r="J16" s="27">
        <v>8684243.7799999993</v>
      </c>
      <c r="K16" s="25">
        <f t="shared" si="0"/>
        <v>1283226.4699999997</v>
      </c>
      <c r="L16" s="32">
        <f t="shared" si="1"/>
        <v>1283.2264699999998</v>
      </c>
    </row>
    <row r="17" spans="1:12" ht="15.95" customHeight="1" x14ac:dyDescent="0.2">
      <c r="A17" s="179">
        <v>112</v>
      </c>
      <c r="B17" s="369" t="s">
        <v>95</v>
      </c>
      <c r="C17" s="370"/>
      <c r="D17" s="370"/>
      <c r="E17" s="27">
        <v>5621631.8399999999</v>
      </c>
      <c r="F17" s="27">
        <v>17777352.239999998</v>
      </c>
      <c r="H17" s="27">
        <v>17484665.890000001</v>
      </c>
      <c r="J17" s="27">
        <v>5914318.1900000004</v>
      </c>
      <c r="K17" s="25">
        <f t="shared" si="0"/>
        <v>292686.35000000056</v>
      </c>
      <c r="L17" s="32">
        <f t="shared" si="1"/>
        <v>292.68635000000057</v>
      </c>
    </row>
    <row r="18" spans="1:12" ht="15.95" customHeight="1" x14ac:dyDescent="0.2">
      <c r="A18" s="179">
        <v>11201</v>
      </c>
      <c r="B18" s="369" t="s">
        <v>96</v>
      </c>
      <c r="C18" s="370"/>
      <c r="D18" s="370"/>
      <c r="E18" s="27">
        <v>4911717.92</v>
      </c>
      <c r="F18" s="27">
        <v>17404453.84</v>
      </c>
      <c r="H18" s="27">
        <v>17177690.059999999</v>
      </c>
      <c r="J18" s="27">
        <v>5138481.7</v>
      </c>
      <c r="K18" s="25">
        <f t="shared" si="0"/>
        <v>226763.78000000026</v>
      </c>
      <c r="L18" s="32">
        <f t="shared" si="1"/>
        <v>226.76378000000025</v>
      </c>
    </row>
    <row r="19" spans="1:12" ht="15.95" customHeight="1" x14ac:dyDescent="0.2">
      <c r="A19" s="181">
        <v>1120101</v>
      </c>
      <c r="B19" s="371" t="s">
        <v>97</v>
      </c>
      <c r="C19" s="372"/>
      <c r="D19" s="372"/>
      <c r="E19" s="29">
        <v>4748893.66</v>
      </c>
      <c r="F19" s="29">
        <v>17391556.550000001</v>
      </c>
      <c r="G19" s="182"/>
      <c r="H19" s="29">
        <v>17140560.030000001</v>
      </c>
      <c r="I19" s="182"/>
      <c r="J19" s="29">
        <v>4999890.18</v>
      </c>
      <c r="K19" s="31">
        <f t="shared" si="0"/>
        <v>250996.51999999955</v>
      </c>
      <c r="L19" s="202">
        <f t="shared" si="1"/>
        <v>250.99651999999955</v>
      </c>
    </row>
    <row r="20" spans="1:12" ht="15.95" customHeight="1" x14ac:dyDescent="0.2">
      <c r="A20" s="179">
        <v>1120102</v>
      </c>
      <c r="B20" s="369" t="s">
        <v>100</v>
      </c>
      <c r="C20" s="370"/>
      <c r="D20" s="370"/>
      <c r="E20" s="27">
        <v>162824.26</v>
      </c>
      <c r="F20" s="27">
        <v>12897.29</v>
      </c>
      <c r="H20" s="27">
        <v>37130.03</v>
      </c>
      <c r="J20" s="27">
        <v>138591.51999999999</v>
      </c>
      <c r="K20" s="25">
        <f t="shared" si="0"/>
        <v>-24232.74000000002</v>
      </c>
      <c r="L20" s="32">
        <f t="shared" si="1"/>
        <v>-24.232740000000021</v>
      </c>
    </row>
    <row r="21" spans="1:12" ht="15.95" customHeight="1" x14ac:dyDescent="0.2">
      <c r="A21" s="181">
        <v>11202</v>
      </c>
      <c r="B21" s="371" t="s">
        <v>115</v>
      </c>
      <c r="C21" s="372"/>
      <c r="D21" s="372"/>
      <c r="E21" s="29">
        <v>-328283.25</v>
      </c>
      <c r="F21" s="29">
        <v>0</v>
      </c>
      <c r="G21" s="182"/>
      <c r="H21" s="29">
        <v>0</v>
      </c>
      <c r="I21" s="182"/>
      <c r="J21" s="29">
        <v>-328283.25</v>
      </c>
      <c r="K21" s="31">
        <f t="shared" si="0"/>
        <v>0</v>
      </c>
      <c r="L21" s="202">
        <f t="shared" si="1"/>
        <v>0</v>
      </c>
    </row>
    <row r="22" spans="1:12" ht="15.95" customHeight="1" x14ac:dyDescent="0.2">
      <c r="A22" s="179">
        <v>1120201</v>
      </c>
      <c r="B22" s="369" t="s">
        <v>116</v>
      </c>
      <c r="C22" s="370"/>
      <c r="D22" s="370"/>
      <c r="E22" s="27">
        <v>-328283.25</v>
      </c>
      <c r="F22" s="27">
        <v>0</v>
      </c>
      <c r="H22" s="27">
        <v>0</v>
      </c>
      <c r="J22" s="27">
        <v>-328283.25</v>
      </c>
      <c r="K22" s="25">
        <f t="shared" si="0"/>
        <v>0</v>
      </c>
      <c r="L22" s="32">
        <f t="shared" si="1"/>
        <v>0</v>
      </c>
    </row>
    <row r="23" spans="1:12" ht="15.95" customHeight="1" x14ac:dyDescent="0.2">
      <c r="A23" s="181">
        <v>11204</v>
      </c>
      <c r="B23" s="371" t="s">
        <v>119</v>
      </c>
      <c r="C23" s="372"/>
      <c r="D23" s="372"/>
      <c r="E23" s="29">
        <v>57028.7</v>
      </c>
      <c r="F23" s="29">
        <v>116527.11</v>
      </c>
      <c r="G23" s="182"/>
      <c r="H23" s="29">
        <v>80098.31</v>
      </c>
      <c r="I23" s="182"/>
      <c r="J23" s="29">
        <v>93457.5</v>
      </c>
      <c r="K23" s="31">
        <f t="shared" si="0"/>
        <v>36428.800000000003</v>
      </c>
      <c r="L23" s="202">
        <f t="shared" si="1"/>
        <v>36.428800000000003</v>
      </c>
    </row>
    <row r="24" spans="1:12" ht="15.95" customHeight="1" x14ac:dyDescent="0.2">
      <c r="A24" s="179">
        <v>1120401</v>
      </c>
      <c r="B24" s="369" t="s">
        <v>120</v>
      </c>
      <c r="C24" s="370"/>
      <c r="D24" s="370"/>
      <c r="E24" s="27">
        <v>36344.92</v>
      </c>
      <c r="F24" s="27">
        <v>54501.34</v>
      </c>
      <c r="H24" s="27">
        <v>18172.46</v>
      </c>
      <c r="J24" s="27">
        <v>72673.8</v>
      </c>
      <c r="K24" s="25">
        <f t="shared" si="0"/>
        <v>36328.880000000005</v>
      </c>
      <c r="L24" s="32">
        <f t="shared" si="1"/>
        <v>36.328880000000005</v>
      </c>
    </row>
    <row r="25" spans="1:12" ht="15.95" customHeight="1" x14ac:dyDescent="0.2">
      <c r="A25" s="179">
        <v>1120407</v>
      </c>
      <c r="B25" s="369" t="s">
        <v>123</v>
      </c>
      <c r="C25" s="370"/>
      <c r="D25" s="370"/>
      <c r="E25" s="27">
        <v>20683.78</v>
      </c>
      <c r="F25" s="27">
        <v>62025.77</v>
      </c>
      <c r="H25" s="27">
        <v>61925.85</v>
      </c>
      <c r="J25" s="27">
        <v>20783.7</v>
      </c>
      <c r="K25" s="25">
        <f t="shared" si="0"/>
        <v>99.920000000001892</v>
      </c>
      <c r="L25" s="32">
        <f t="shared" si="1"/>
        <v>9.9920000000001896E-2</v>
      </c>
    </row>
    <row r="26" spans="1:12" ht="15.95" customHeight="1" x14ac:dyDescent="0.2">
      <c r="A26" s="179">
        <v>11205</v>
      </c>
      <c r="B26" s="369" t="s">
        <v>126</v>
      </c>
      <c r="C26" s="370"/>
      <c r="D26" s="370"/>
      <c r="E26" s="27">
        <v>981168.47</v>
      </c>
      <c r="F26" s="27">
        <v>256371.29</v>
      </c>
      <c r="H26" s="27">
        <v>226877.52</v>
      </c>
      <c r="J26" s="27">
        <v>1010662.24</v>
      </c>
      <c r="K26" s="25">
        <f t="shared" si="0"/>
        <v>29493.770000000019</v>
      </c>
      <c r="L26" s="32">
        <f t="shared" si="1"/>
        <v>29.493770000000019</v>
      </c>
    </row>
    <row r="27" spans="1:12" ht="15.95" customHeight="1" x14ac:dyDescent="0.2">
      <c r="A27" s="181">
        <v>1120501</v>
      </c>
      <c r="B27" s="371" t="s">
        <v>127</v>
      </c>
      <c r="C27" s="372"/>
      <c r="D27" s="372"/>
      <c r="E27" s="29">
        <v>366465.44</v>
      </c>
      <c r="F27" s="29">
        <v>0</v>
      </c>
      <c r="G27" s="182"/>
      <c r="H27" s="29">
        <v>0</v>
      </c>
      <c r="I27" s="182"/>
      <c r="J27" s="29">
        <v>366465.44</v>
      </c>
      <c r="K27" s="31">
        <f t="shared" si="0"/>
        <v>0</v>
      </c>
      <c r="L27" s="202">
        <f t="shared" si="1"/>
        <v>0</v>
      </c>
    </row>
    <row r="28" spans="1:12" ht="15.95" customHeight="1" x14ac:dyDescent="0.2">
      <c r="A28" s="179">
        <v>1120502</v>
      </c>
      <c r="B28" s="369" t="s">
        <v>132</v>
      </c>
      <c r="C28" s="370"/>
      <c r="D28" s="370"/>
      <c r="E28" s="27">
        <v>573263.03</v>
      </c>
      <c r="F28" s="27">
        <v>256371.29</v>
      </c>
      <c r="H28" s="27">
        <v>226877.52</v>
      </c>
      <c r="J28" s="27">
        <v>602756.80000000005</v>
      </c>
      <c r="K28" s="25">
        <f t="shared" si="0"/>
        <v>29493.770000000019</v>
      </c>
      <c r="L28" s="32">
        <f t="shared" si="1"/>
        <v>29.493770000000019</v>
      </c>
    </row>
    <row r="29" spans="1:12" ht="15.95" customHeight="1" x14ac:dyDescent="0.2">
      <c r="A29" s="179">
        <v>1120503</v>
      </c>
      <c r="B29" s="369" t="s">
        <v>143</v>
      </c>
      <c r="C29" s="370"/>
      <c r="D29" s="370"/>
      <c r="E29" s="27">
        <v>41440</v>
      </c>
      <c r="F29" s="27">
        <v>0</v>
      </c>
      <c r="H29" s="27">
        <v>0</v>
      </c>
      <c r="J29" s="27">
        <v>41440</v>
      </c>
      <c r="K29" s="25">
        <f t="shared" si="0"/>
        <v>0</v>
      </c>
      <c r="L29" s="32">
        <f t="shared" si="1"/>
        <v>0</v>
      </c>
    </row>
    <row r="30" spans="1:12" ht="15.95" customHeight="1" x14ac:dyDescent="0.2">
      <c r="A30" s="181">
        <v>113</v>
      </c>
      <c r="B30" s="371" t="s">
        <v>146</v>
      </c>
      <c r="C30" s="372"/>
      <c r="D30" s="372"/>
      <c r="E30" s="29">
        <v>1450391.54</v>
      </c>
      <c r="F30" s="29">
        <v>2393340.19</v>
      </c>
      <c r="G30" s="182"/>
      <c r="H30" s="29">
        <v>1912939</v>
      </c>
      <c r="I30" s="182"/>
      <c r="J30" s="29">
        <v>1930792.73</v>
      </c>
      <c r="K30" s="31">
        <f t="shared" si="0"/>
        <v>480401.18999999994</v>
      </c>
      <c r="L30" s="202">
        <f t="shared" si="1"/>
        <v>480.40118999999993</v>
      </c>
    </row>
    <row r="31" spans="1:12" ht="15.95" customHeight="1" x14ac:dyDescent="0.2">
      <c r="A31" s="179">
        <v>11301</v>
      </c>
      <c r="B31" s="369" t="s">
        <v>146</v>
      </c>
      <c r="C31" s="370"/>
      <c r="D31" s="370"/>
      <c r="E31" s="27">
        <v>1450391.54</v>
      </c>
      <c r="F31" s="27">
        <v>2393340.19</v>
      </c>
      <c r="H31" s="27">
        <v>1912939</v>
      </c>
      <c r="J31" s="27">
        <v>1930792.73</v>
      </c>
      <c r="K31" s="25">
        <f t="shared" si="0"/>
        <v>480401.18999999994</v>
      </c>
      <c r="L31" s="32">
        <f t="shared" si="1"/>
        <v>480.40118999999993</v>
      </c>
    </row>
    <row r="32" spans="1:12" ht="15.95" customHeight="1" x14ac:dyDescent="0.2">
      <c r="A32" s="179">
        <v>1130101</v>
      </c>
      <c r="B32" s="369" t="s">
        <v>147</v>
      </c>
      <c r="C32" s="370"/>
      <c r="D32" s="370"/>
      <c r="E32" s="27">
        <v>482298.17</v>
      </c>
      <c r="F32" s="27">
        <v>470676.66</v>
      </c>
      <c r="H32" s="27">
        <v>181440.5</v>
      </c>
      <c r="J32" s="27">
        <v>771534.33</v>
      </c>
      <c r="K32" s="25">
        <f t="shared" si="0"/>
        <v>289236.15999999997</v>
      </c>
      <c r="L32" s="32">
        <f t="shared" si="1"/>
        <v>289.23615999999998</v>
      </c>
    </row>
    <row r="33" spans="1:12" ht="15.95" customHeight="1" x14ac:dyDescent="0.2">
      <c r="A33" s="179">
        <v>1130102</v>
      </c>
      <c r="B33" s="369" t="s">
        <v>160</v>
      </c>
      <c r="C33" s="370"/>
      <c r="D33" s="370"/>
      <c r="E33" s="27">
        <v>798390.41</v>
      </c>
      <c r="F33" s="27">
        <v>0</v>
      </c>
      <c r="H33" s="27">
        <v>0</v>
      </c>
      <c r="J33" s="27">
        <v>798390.41</v>
      </c>
      <c r="K33" s="25">
        <f t="shared" si="0"/>
        <v>0</v>
      </c>
      <c r="L33" s="32">
        <f t="shared" si="1"/>
        <v>0</v>
      </c>
    </row>
    <row r="34" spans="1:12" ht="15.95" customHeight="1" x14ac:dyDescent="0.2">
      <c r="A34" s="179">
        <v>1130103</v>
      </c>
      <c r="B34" s="369" t="s">
        <v>163</v>
      </c>
      <c r="C34" s="370"/>
      <c r="D34" s="370"/>
      <c r="E34" s="27">
        <v>160600.85999999999</v>
      </c>
      <c r="F34" s="27">
        <v>0</v>
      </c>
      <c r="H34" s="27">
        <v>0</v>
      </c>
      <c r="J34" s="27">
        <v>160600.85999999999</v>
      </c>
      <c r="K34" s="25">
        <f t="shared" si="0"/>
        <v>0</v>
      </c>
      <c r="L34" s="32">
        <f t="shared" si="1"/>
        <v>0</v>
      </c>
    </row>
    <row r="35" spans="1:12" ht="15.95" customHeight="1" x14ac:dyDescent="0.2">
      <c r="A35" s="179">
        <v>1130104</v>
      </c>
      <c r="B35" s="369" t="s">
        <v>166</v>
      </c>
      <c r="C35" s="370"/>
      <c r="D35" s="370"/>
      <c r="E35" s="27">
        <v>9102.1</v>
      </c>
      <c r="F35" s="27">
        <v>1922663.53</v>
      </c>
      <c r="H35" s="27">
        <v>1731498.5</v>
      </c>
      <c r="J35" s="27">
        <v>200267.13</v>
      </c>
      <c r="K35" s="25">
        <f t="shared" si="0"/>
        <v>191165.03</v>
      </c>
      <c r="L35" s="32">
        <f t="shared" si="1"/>
        <v>191.16503</v>
      </c>
    </row>
    <row r="36" spans="1:12" ht="15.95" customHeight="1" x14ac:dyDescent="0.2">
      <c r="A36" s="181">
        <v>114</v>
      </c>
      <c r="B36" s="371" t="s">
        <v>173</v>
      </c>
      <c r="C36" s="372"/>
      <c r="D36" s="372"/>
      <c r="E36" s="29">
        <v>60854.81</v>
      </c>
      <c r="F36" s="29">
        <v>14084.25</v>
      </c>
      <c r="G36" s="182"/>
      <c r="H36" s="29">
        <v>20625.990000000002</v>
      </c>
      <c r="I36" s="182"/>
      <c r="J36" s="29">
        <v>54313.07</v>
      </c>
      <c r="K36" s="31">
        <f t="shared" si="0"/>
        <v>-6541.739999999998</v>
      </c>
      <c r="L36" s="202">
        <f t="shared" si="1"/>
        <v>-6.5417399999999981</v>
      </c>
    </row>
    <row r="37" spans="1:12" ht="15.95" customHeight="1" x14ac:dyDescent="0.2">
      <c r="A37" s="179">
        <v>11401</v>
      </c>
      <c r="B37" s="369" t="s">
        <v>174</v>
      </c>
      <c r="C37" s="370"/>
      <c r="D37" s="370"/>
      <c r="E37" s="27">
        <v>60854.81</v>
      </c>
      <c r="F37" s="27">
        <v>14084.25</v>
      </c>
      <c r="H37" s="27">
        <v>20625.990000000002</v>
      </c>
      <c r="J37" s="27">
        <v>54313.07</v>
      </c>
      <c r="K37" s="25">
        <f t="shared" si="0"/>
        <v>-6541.739999999998</v>
      </c>
      <c r="L37" s="32">
        <f t="shared" si="1"/>
        <v>-6.5417399999999981</v>
      </c>
    </row>
    <row r="38" spans="1:12" ht="15.95" customHeight="1" x14ac:dyDescent="0.2">
      <c r="A38" s="179">
        <v>1140101</v>
      </c>
      <c r="B38" s="369" t="s">
        <v>175</v>
      </c>
      <c r="C38" s="370"/>
      <c r="D38" s="370"/>
      <c r="E38" s="27">
        <v>8053.2</v>
      </c>
      <c r="F38" s="27">
        <v>0</v>
      </c>
      <c r="H38" s="27">
        <v>0</v>
      </c>
      <c r="J38" s="27">
        <v>8053.2</v>
      </c>
      <c r="K38" s="25">
        <f t="shared" si="0"/>
        <v>0</v>
      </c>
      <c r="L38" s="32">
        <f t="shared" si="1"/>
        <v>0</v>
      </c>
    </row>
    <row r="39" spans="1:12" ht="15.95" customHeight="1" x14ac:dyDescent="0.2">
      <c r="A39" s="179">
        <v>1140102</v>
      </c>
      <c r="B39" s="369" t="s">
        <v>180</v>
      </c>
      <c r="C39" s="370"/>
      <c r="D39" s="370"/>
      <c r="E39" s="27">
        <v>52801.61</v>
      </c>
      <c r="F39" s="27">
        <v>14084.25</v>
      </c>
      <c r="H39" s="27">
        <v>20625.990000000002</v>
      </c>
      <c r="J39" s="27">
        <v>46259.87</v>
      </c>
      <c r="K39" s="25">
        <f t="shared" si="0"/>
        <v>-6541.739999999998</v>
      </c>
      <c r="L39" s="32">
        <f t="shared" si="1"/>
        <v>-6.5417399999999981</v>
      </c>
    </row>
    <row r="40" spans="1:12" ht="15.95" customHeight="1" x14ac:dyDescent="0.2">
      <c r="A40" s="181">
        <v>117</v>
      </c>
      <c r="B40" s="371" t="s">
        <v>197</v>
      </c>
      <c r="C40" s="372"/>
      <c r="D40" s="372"/>
      <c r="E40" s="29">
        <v>225420.44</v>
      </c>
      <c r="F40" s="29">
        <v>8700</v>
      </c>
      <c r="G40" s="182"/>
      <c r="H40" s="29">
        <v>98272.26</v>
      </c>
      <c r="I40" s="182"/>
      <c r="J40" s="29">
        <v>135848.18</v>
      </c>
      <c r="K40" s="31">
        <f t="shared" si="0"/>
        <v>-89572.260000000009</v>
      </c>
      <c r="L40" s="202">
        <f t="shared" si="1"/>
        <v>-89.572260000000014</v>
      </c>
    </row>
    <row r="41" spans="1:12" ht="15.95" customHeight="1" x14ac:dyDescent="0.2">
      <c r="A41" s="179">
        <v>11701</v>
      </c>
      <c r="B41" s="369" t="s">
        <v>197</v>
      </c>
      <c r="C41" s="370"/>
      <c r="D41" s="370"/>
      <c r="E41" s="27">
        <v>225420.44</v>
      </c>
      <c r="F41" s="27">
        <v>8700</v>
      </c>
      <c r="H41" s="27">
        <v>98272.26</v>
      </c>
      <c r="J41" s="27">
        <v>135848.18</v>
      </c>
      <c r="K41" s="25">
        <f t="shared" si="0"/>
        <v>-89572.260000000009</v>
      </c>
      <c r="L41" s="32">
        <f t="shared" si="1"/>
        <v>-89.572260000000014</v>
      </c>
    </row>
    <row r="42" spans="1:12" ht="15.95" customHeight="1" x14ac:dyDescent="0.2">
      <c r="A42" s="179">
        <v>1170101</v>
      </c>
      <c r="B42" s="369" t="s">
        <v>198</v>
      </c>
      <c r="C42" s="370"/>
      <c r="D42" s="370"/>
      <c r="E42" s="27">
        <v>213327.51</v>
      </c>
      <c r="F42" s="27">
        <v>0</v>
      </c>
      <c r="H42" s="27">
        <v>88246.65</v>
      </c>
      <c r="J42" s="27">
        <v>125080.86</v>
      </c>
      <c r="K42" s="25">
        <f t="shared" si="0"/>
        <v>-88246.650000000009</v>
      </c>
      <c r="L42" s="32">
        <f t="shared" si="1"/>
        <v>-88.246650000000002</v>
      </c>
    </row>
    <row r="43" spans="1:12" ht="15.95" customHeight="1" x14ac:dyDescent="0.2">
      <c r="A43" s="179">
        <v>1170102</v>
      </c>
      <c r="B43" s="369" t="s">
        <v>203</v>
      </c>
      <c r="C43" s="370"/>
      <c r="D43" s="370"/>
      <c r="E43" s="27">
        <v>6508.3</v>
      </c>
      <c r="F43" s="27">
        <v>8700</v>
      </c>
      <c r="H43" s="27">
        <v>7233.3</v>
      </c>
      <c r="J43" s="27">
        <v>7975</v>
      </c>
      <c r="K43" s="25">
        <f t="shared" si="0"/>
        <v>1466.6999999999998</v>
      </c>
      <c r="L43" s="32">
        <f t="shared" si="1"/>
        <v>1.4666999999999999</v>
      </c>
    </row>
    <row r="44" spans="1:12" ht="15.95" customHeight="1" x14ac:dyDescent="0.2">
      <c r="A44" s="179">
        <v>1170103</v>
      </c>
      <c r="B44" s="369" t="s">
        <v>206</v>
      </c>
      <c r="C44" s="370"/>
      <c r="D44" s="370"/>
      <c r="E44" s="27">
        <v>5584.63</v>
      </c>
      <c r="F44" s="27">
        <v>0</v>
      </c>
      <c r="H44" s="27">
        <v>2792.31</v>
      </c>
      <c r="J44" s="27">
        <v>2792.32</v>
      </c>
      <c r="K44" s="25">
        <f t="shared" si="0"/>
        <v>-2792.31</v>
      </c>
      <c r="L44" s="32">
        <f t="shared" si="1"/>
        <v>-2.7923100000000001</v>
      </c>
    </row>
    <row r="45" spans="1:12" ht="15.95" customHeight="1" x14ac:dyDescent="0.2">
      <c r="A45" s="179">
        <v>12</v>
      </c>
      <c r="B45" s="369" t="s">
        <v>209</v>
      </c>
      <c r="C45" s="370"/>
      <c r="D45" s="370"/>
      <c r="E45" s="27">
        <v>295944446.50999999</v>
      </c>
      <c r="F45" s="27">
        <v>388823.05</v>
      </c>
      <c r="H45" s="27">
        <v>4139025.54</v>
      </c>
      <c r="J45" s="27">
        <v>292194244.01999998</v>
      </c>
      <c r="K45" s="25">
        <f t="shared" si="0"/>
        <v>-3750202.4900000095</v>
      </c>
      <c r="L45" s="32">
        <f t="shared" si="1"/>
        <v>-3750.2024900000097</v>
      </c>
    </row>
    <row r="46" spans="1:12" ht="15.95" customHeight="1" x14ac:dyDescent="0.2">
      <c r="A46" s="179">
        <v>121</v>
      </c>
      <c r="B46" s="369" t="s">
        <v>210</v>
      </c>
      <c r="C46" s="370"/>
      <c r="D46" s="370"/>
      <c r="E46" s="27">
        <v>655115.97</v>
      </c>
      <c r="F46" s="27">
        <v>166788.39000000001</v>
      </c>
      <c r="H46" s="27">
        <v>89209</v>
      </c>
      <c r="J46" s="27">
        <v>732695.36</v>
      </c>
      <c r="K46" s="25">
        <f t="shared" si="0"/>
        <v>77579.390000000014</v>
      </c>
      <c r="L46" s="32">
        <f t="shared" si="1"/>
        <v>77.579390000000018</v>
      </c>
    </row>
    <row r="47" spans="1:12" ht="15.95" customHeight="1" x14ac:dyDescent="0.2">
      <c r="A47" s="181">
        <v>12101</v>
      </c>
      <c r="B47" s="371" t="s">
        <v>211</v>
      </c>
      <c r="C47" s="372"/>
      <c r="D47" s="372"/>
      <c r="E47" s="29">
        <v>581728.5</v>
      </c>
      <c r="F47" s="29">
        <v>166788.39000000001</v>
      </c>
      <c r="G47" s="182"/>
      <c r="H47" s="29">
        <v>89209</v>
      </c>
      <c r="I47" s="182"/>
      <c r="J47" s="29">
        <v>659307.89</v>
      </c>
      <c r="K47" s="31">
        <f t="shared" si="0"/>
        <v>77579.390000000014</v>
      </c>
      <c r="L47" s="202">
        <f t="shared" si="1"/>
        <v>77.579390000000018</v>
      </c>
    </row>
    <row r="48" spans="1:12" ht="15.95" customHeight="1" x14ac:dyDescent="0.2">
      <c r="A48" s="179">
        <v>1210101</v>
      </c>
      <c r="B48" s="369" t="s">
        <v>212</v>
      </c>
      <c r="C48" s="370"/>
      <c r="D48" s="370"/>
      <c r="E48" s="27">
        <v>356447.59</v>
      </c>
      <c r="F48" s="27">
        <v>69512.490000000005</v>
      </c>
      <c r="H48" s="27">
        <v>0</v>
      </c>
      <c r="J48" s="27">
        <v>425960.08</v>
      </c>
      <c r="K48" s="25">
        <f t="shared" si="0"/>
        <v>69512.489999999991</v>
      </c>
      <c r="L48" s="32">
        <f t="shared" si="1"/>
        <v>69.512489999999985</v>
      </c>
    </row>
    <row r="49" spans="1:12" ht="15.95" customHeight="1" x14ac:dyDescent="0.2">
      <c r="A49" s="179">
        <v>1210102</v>
      </c>
      <c r="B49" s="369" t="s">
        <v>253</v>
      </c>
      <c r="C49" s="370"/>
      <c r="D49" s="370"/>
      <c r="E49" s="27">
        <v>201852.66</v>
      </c>
      <c r="F49" s="27">
        <v>26991.15</v>
      </c>
      <c r="H49" s="27">
        <v>89209</v>
      </c>
      <c r="J49" s="27">
        <v>139634.81</v>
      </c>
      <c r="K49" s="25">
        <f t="shared" si="0"/>
        <v>-62217.850000000006</v>
      </c>
      <c r="L49" s="32">
        <f t="shared" si="1"/>
        <v>-62.217850000000006</v>
      </c>
    </row>
    <row r="50" spans="1:12" ht="15.95" customHeight="1" x14ac:dyDescent="0.2">
      <c r="A50" s="179">
        <v>1210106</v>
      </c>
      <c r="B50" s="369" t="s">
        <v>264</v>
      </c>
      <c r="C50" s="370"/>
      <c r="D50" s="370"/>
      <c r="E50" s="27">
        <v>23428.25</v>
      </c>
      <c r="F50" s="27">
        <v>70284.75</v>
      </c>
      <c r="H50" s="27">
        <v>0</v>
      </c>
      <c r="J50" s="27">
        <v>93713</v>
      </c>
      <c r="K50" s="25">
        <f t="shared" si="0"/>
        <v>70284.75</v>
      </c>
      <c r="L50" s="32">
        <f t="shared" si="1"/>
        <v>70.284750000000003</v>
      </c>
    </row>
    <row r="51" spans="1:12" ht="15.95" customHeight="1" x14ac:dyDescent="0.2">
      <c r="A51" s="179">
        <v>12102</v>
      </c>
      <c r="B51" s="369" t="s">
        <v>96</v>
      </c>
      <c r="C51" s="370"/>
      <c r="D51" s="370"/>
      <c r="E51" s="27">
        <v>73387.47</v>
      </c>
      <c r="F51" s="27">
        <v>0</v>
      </c>
      <c r="H51" s="27">
        <v>0</v>
      </c>
      <c r="J51" s="27">
        <v>73387.47</v>
      </c>
      <c r="K51" s="25">
        <f t="shared" si="0"/>
        <v>0</v>
      </c>
      <c r="L51" s="32">
        <f t="shared" si="1"/>
        <v>0</v>
      </c>
    </row>
    <row r="52" spans="1:12" ht="15.95" customHeight="1" x14ac:dyDescent="0.2">
      <c r="A52" s="179">
        <v>1210201</v>
      </c>
      <c r="B52" s="369" t="s">
        <v>97</v>
      </c>
      <c r="C52" s="370"/>
      <c r="D52" s="370"/>
      <c r="E52" s="27">
        <v>73387.47</v>
      </c>
      <c r="F52" s="27">
        <v>0</v>
      </c>
      <c r="H52" s="27">
        <v>0</v>
      </c>
      <c r="J52" s="27">
        <v>73387.47</v>
      </c>
      <c r="K52" s="25">
        <f t="shared" si="0"/>
        <v>0</v>
      </c>
      <c r="L52" s="32">
        <f t="shared" si="1"/>
        <v>0</v>
      </c>
    </row>
    <row r="53" spans="1:12" ht="15.95" customHeight="1" x14ac:dyDescent="0.2">
      <c r="A53" s="179">
        <v>122</v>
      </c>
      <c r="B53" s="369" t="s">
        <v>268</v>
      </c>
      <c r="C53" s="370"/>
      <c r="D53" s="370"/>
      <c r="E53" s="27">
        <v>12203.91</v>
      </c>
      <c r="F53" s="27">
        <v>0</v>
      </c>
      <c r="H53" s="27">
        <v>0</v>
      </c>
      <c r="J53" s="27">
        <v>12203.91</v>
      </c>
      <c r="K53" s="25">
        <f t="shared" si="0"/>
        <v>0</v>
      </c>
      <c r="L53" s="32">
        <f t="shared" si="1"/>
        <v>0</v>
      </c>
    </row>
    <row r="54" spans="1:12" ht="15.95" customHeight="1" x14ac:dyDescent="0.2">
      <c r="A54" s="179">
        <v>12201</v>
      </c>
      <c r="B54" s="369" t="s">
        <v>268</v>
      </c>
      <c r="C54" s="370"/>
      <c r="D54" s="370"/>
      <c r="E54" s="27">
        <v>12203.91</v>
      </c>
      <c r="F54" s="27">
        <v>0</v>
      </c>
      <c r="H54" s="27">
        <v>0</v>
      </c>
      <c r="J54" s="27">
        <v>12203.91</v>
      </c>
      <c r="K54" s="25">
        <f t="shared" si="0"/>
        <v>0</v>
      </c>
      <c r="L54" s="32">
        <f t="shared" si="1"/>
        <v>0</v>
      </c>
    </row>
    <row r="55" spans="1:12" ht="27.95" customHeight="1" x14ac:dyDescent="0.2">
      <c r="A55" s="179">
        <v>1220105</v>
      </c>
      <c r="B55" s="369" t="s">
        <v>269</v>
      </c>
      <c r="C55" s="370"/>
      <c r="D55" s="370"/>
      <c r="E55" s="27">
        <v>12203.91</v>
      </c>
      <c r="F55" s="27">
        <v>0</v>
      </c>
      <c r="H55" s="27">
        <v>0</v>
      </c>
      <c r="J55" s="27">
        <v>12203.91</v>
      </c>
      <c r="K55" s="25">
        <f t="shared" si="0"/>
        <v>0</v>
      </c>
      <c r="L55" s="32">
        <f t="shared" si="1"/>
        <v>0</v>
      </c>
    </row>
    <row r="56" spans="1:12" ht="15.95" customHeight="1" x14ac:dyDescent="0.2">
      <c r="A56" s="179">
        <v>123</v>
      </c>
      <c r="B56" s="369" t="s">
        <v>274</v>
      </c>
      <c r="C56" s="370"/>
      <c r="D56" s="370"/>
      <c r="E56" s="27">
        <v>294280305.94</v>
      </c>
      <c r="F56" s="27">
        <v>222034.66</v>
      </c>
      <c r="H56" s="27">
        <v>3946907.69</v>
      </c>
      <c r="J56" s="27">
        <v>290555432.91000003</v>
      </c>
      <c r="K56" s="25">
        <f t="shared" si="0"/>
        <v>-3724873.0299999714</v>
      </c>
      <c r="L56" s="32">
        <f t="shared" si="1"/>
        <v>-3724.8730299999715</v>
      </c>
    </row>
    <row r="57" spans="1:12" ht="15.95" customHeight="1" x14ac:dyDescent="0.2">
      <c r="A57" s="181">
        <v>12301</v>
      </c>
      <c r="B57" s="371" t="s">
        <v>274</v>
      </c>
      <c r="C57" s="372"/>
      <c r="D57" s="372"/>
      <c r="E57" s="29">
        <v>395178815.94999999</v>
      </c>
      <c r="F57" s="29">
        <v>74558.929999999993</v>
      </c>
      <c r="G57" s="182"/>
      <c r="H57" s="29">
        <v>0</v>
      </c>
      <c r="I57" s="182"/>
      <c r="J57" s="29">
        <v>395253374.88</v>
      </c>
      <c r="K57" s="31">
        <f t="shared" si="0"/>
        <v>74558.930000007153</v>
      </c>
      <c r="L57" s="202">
        <f t="shared" si="1"/>
        <v>74.558930000007152</v>
      </c>
    </row>
    <row r="58" spans="1:12" ht="15.95" customHeight="1" x14ac:dyDescent="0.2">
      <c r="A58" s="179">
        <v>1230101</v>
      </c>
      <c r="B58" s="369" t="s">
        <v>275</v>
      </c>
      <c r="C58" s="370"/>
      <c r="D58" s="370"/>
      <c r="E58" s="27">
        <v>15580076.41</v>
      </c>
      <c r="F58" s="27">
        <v>59800</v>
      </c>
      <c r="H58" s="27">
        <v>0</v>
      </c>
      <c r="J58" s="27">
        <v>15639876.41</v>
      </c>
      <c r="K58" s="25">
        <f t="shared" si="0"/>
        <v>59800</v>
      </c>
      <c r="L58" s="32">
        <f t="shared" si="1"/>
        <v>59.8</v>
      </c>
    </row>
    <row r="59" spans="1:12" ht="15.95" customHeight="1" x14ac:dyDescent="0.2">
      <c r="A59" s="179">
        <v>1230102</v>
      </c>
      <c r="B59" s="369" t="s">
        <v>296</v>
      </c>
      <c r="C59" s="370"/>
      <c r="D59" s="370"/>
      <c r="E59" s="27">
        <v>144659770.72999999</v>
      </c>
      <c r="F59" s="27">
        <v>0</v>
      </c>
      <c r="H59" s="27">
        <v>0</v>
      </c>
      <c r="J59" s="27">
        <v>144659770.72999999</v>
      </c>
      <c r="K59" s="25">
        <f t="shared" si="0"/>
        <v>0</v>
      </c>
      <c r="L59" s="32">
        <f t="shared" si="1"/>
        <v>0</v>
      </c>
    </row>
    <row r="60" spans="1:12" ht="15.95" customHeight="1" x14ac:dyDescent="0.2">
      <c r="A60" s="179">
        <v>1230103</v>
      </c>
      <c r="B60" s="369" t="s">
        <v>339</v>
      </c>
      <c r="C60" s="370"/>
      <c r="D60" s="370"/>
      <c r="E60" s="27">
        <v>382225.69</v>
      </c>
      <c r="F60" s="27">
        <v>14758.93</v>
      </c>
      <c r="H60" s="27">
        <v>0</v>
      </c>
      <c r="J60" s="27">
        <v>396984.62</v>
      </c>
      <c r="K60" s="25">
        <f t="shared" si="0"/>
        <v>14758.929999999993</v>
      </c>
      <c r="L60" s="32">
        <f t="shared" si="1"/>
        <v>14.758929999999992</v>
      </c>
    </row>
    <row r="61" spans="1:12" ht="15.95" customHeight="1" x14ac:dyDescent="0.2">
      <c r="A61" s="179">
        <v>1230104</v>
      </c>
      <c r="B61" s="369" t="s">
        <v>342</v>
      </c>
      <c r="C61" s="370"/>
      <c r="D61" s="370"/>
      <c r="E61" s="27">
        <v>1626929.13</v>
      </c>
      <c r="F61" s="27">
        <v>0</v>
      </c>
      <c r="H61" s="27">
        <v>0</v>
      </c>
      <c r="J61" s="27">
        <v>1626929.13</v>
      </c>
      <c r="K61" s="25">
        <f t="shared" si="0"/>
        <v>0</v>
      </c>
      <c r="L61" s="32">
        <f t="shared" si="1"/>
        <v>0</v>
      </c>
    </row>
    <row r="62" spans="1:12" ht="15.95" customHeight="1" x14ac:dyDescent="0.2">
      <c r="A62" s="179">
        <v>1230105</v>
      </c>
      <c r="B62" s="369" t="s">
        <v>349</v>
      </c>
      <c r="C62" s="370"/>
      <c r="D62" s="370"/>
      <c r="E62" s="27">
        <v>238454443.41</v>
      </c>
      <c r="F62" s="27">
        <v>0</v>
      </c>
      <c r="H62" s="27">
        <v>0</v>
      </c>
      <c r="J62" s="27">
        <v>238454443.41</v>
      </c>
      <c r="K62" s="25">
        <f t="shared" si="0"/>
        <v>0</v>
      </c>
      <c r="L62" s="32">
        <f t="shared" si="1"/>
        <v>0</v>
      </c>
    </row>
    <row r="63" spans="1:12" ht="15.95" customHeight="1" x14ac:dyDescent="0.2">
      <c r="A63" s="179">
        <v>1230108</v>
      </c>
      <c r="B63" s="369" t="s">
        <v>360</v>
      </c>
      <c r="C63" s="370"/>
      <c r="D63" s="370"/>
      <c r="E63" s="27">
        <v>-5524629.4199999999</v>
      </c>
      <c r="F63" s="27">
        <v>0</v>
      </c>
      <c r="H63" s="27">
        <v>0</v>
      </c>
      <c r="J63" s="27">
        <v>-5524629.4199999999</v>
      </c>
      <c r="K63" s="25">
        <f t="shared" si="0"/>
        <v>0</v>
      </c>
      <c r="L63" s="32">
        <f t="shared" si="1"/>
        <v>0</v>
      </c>
    </row>
    <row r="64" spans="1:12" ht="15.95" customHeight="1" x14ac:dyDescent="0.2">
      <c r="A64" s="179">
        <v>12399</v>
      </c>
      <c r="B64" s="369" t="s">
        <v>399</v>
      </c>
      <c r="C64" s="370"/>
      <c r="D64" s="370"/>
      <c r="E64" s="27">
        <v>-100898510.01000001</v>
      </c>
      <c r="F64" s="27">
        <v>147475.73000000001</v>
      </c>
      <c r="H64" s="27">
        <v>3946907.69</v>
      </c>
      <c r="J64" s="27">
        <v>-104697941.97</v>
      </c>
      <c r="K64" s="25">
        <f t="shared" si="0"/>
        <v>-3799431.9599999934</v>
      </c>
      <c r="L64" s="32">
        <f t="shared" si="1"/>
        <v>-3799.4319599999935</v>
      </c>
    </row>
    <row r="65" spans="1:12" ht="15.95" customHeight="1" x14ac:dyDescent="0.2">
      <c r="A65" s="179">
        <v>1239901</v>
      </c>
      <c r="B65" s="369" t="s">
        <v>400</v>
      </c>
      <c r="C65" s="370"/>
      <c r="D65" s="370"/>
      <c r="E65" s="27">
        <v>-7426228.79</v>
      </c>
      <c r="F65" s="27">
        <v>0</v>
      </c>
      <c r="H65" s="27">
        <v>317051.77</v>
      </c>
      <c r="J65" s="27">
        <v>-7743280.5599999996</v>
      </c>
      <c r="K65" s="25">
        <f t="shared" si="0"/>
        <v>-317051.76999999955</v>
      </c>
      <c r="L65" s="32">
        <f t="shared" si="1"/>
        <v>-317.05176999999958</v>
      </c>
    </row>
    <row r="66" spans="1:12" ht="15.95" customHeight="1" x14ac:dyDescent="0.2">
      <c r="A66" s="179">
        <v>1239902</v>
      </c>
      <c r="B66" s="369" t="s">
        <v>412</v>
      </c>
      <c r="C66" s="370"/>
      <c r="D66" s="370"/>
      <c r="E66" s="27">
        <v>-64945831.380000003</v>
      </c>
      <c r="F66" s="27">
        <v>0</v>
      </c>
      <c r="H66" s="27">
        <v>1074334.9099999999</v>
      </c>
      <c r="J66" s="27">
        <v>-66020166.289999999</v>
      </c>
      <c r="K66" s="25">
        <f t="shared" si="0"/>
        <v>-1074334.9099999964</v>
      </c>
      <c r="L66" s="32">
        <f t="shared" si="1"/>
        <v>-1074.3349099999964</v>
      </c>
    </row>
    <row r="67" spans="1:12" ht="15.95" customHeight="1" x14ac:dyDescent="0.2">
      <c r="A67" s="179">
        <v>1239903</v>
      </c>
      <c r="B67" s="369" t="s">
        <v>434</v>
      </c>
      <c r="C67" s="370"/>
      <c r="D67" s="370"/>
      <c r="E67" s="27">
        <v>7039614.0199999996</v>
      </c>
      <c r="F67" s="27">
        <v>147475.73000000001</v>
      </c>
      <c r="H67" s="27">
        <v>73688.990000000005</v>
      </c>
      <c r="J67" s="27">
        <v>7113400.7599999998</v>
      </c>
      <c r="K67" s="25">
        <f t="shared" ref="K67:K130" si="2">J67-E67</f>
        <v>73786.740000000224</v>
      </c>
      <c r="L67" s="32">
        <f t="shared" ref="L67:L130" si="3">K67/1000</f>
        <v>73.786740000000222</v>
      </c>
    </row>
    <row r="68" spans="1:12" ht="15.95" customHeight="1" x14ac:dyDescent="0.2">
      <c r="A68" s="179">
        <v>1239904</v>
      </c>
      <c r="B68" s="369" t="s">
        <v>439</v>
      </c>
      <c r="C68" s="370"/>
      <c r="D68" s="370"/>
      <c r="E68" s="27">
        <v>-35566063.859999999</v>
      </c>
      <c r="F68" s="27">
        <v>0</v>
      </c>
      <c r="H68" s="27">
        <v>2481832.02</v>
      </c>
      <c r="J68" s="27">
        <v>-38047895.880000003</v>
      </c>
      <c r="K68" s="25">
        <f t="shared" si="2"/>
        <v>-2481832.0200000033</v>
      </c>
      <c r="L68" s="32">
        <f t="shared" si="3"/>
        <v>-2481.8320200000035</v>
      </c>
    </row>
    <row r="69" spans="1:12" ht="15.95" customHeight="1" x14ac:dyDescent="0.2">
      <c r="A69" s="179">
        <v>124</v>
      </c>
      <c r="B69" s="369" t="s">
        <v>448</v>
      </c>
      <c r="C69" s="370"/>
      <c r="D69" s="370"/>
      <c r="E69" s="27">
        <v>996820.69</v>
      </c>
      <c r="F69" s="27">
        <v>0</v>
      </c>
      <c r="H69" s="27">
        <v>102908.85</v>
      </c>
      <c r="J69" s="27">
        <v>893911.84</v>
      </c>
      <c r="K69" s="25">
        <f t="shared" si="2"/>
        <v>-102908.84999999998</v>
      </c>
      <c r="L69" s="32">
        <f t="shared" si="3"/>
        <v>-102.90884999999997</v>
      </c>
    </row>
    <row r="70" spans="1:12" ht="15.95" customHeight="1" x14ac:dyDescent="0.2">
      <c r="A70" s="181">
        <v>12401</v>
      </c>
      <c r="B70" s="371" t="s">
        <v>448</v>
      </c>
      <c r="C70" s="372"/>
      <c r="D70" s="372"/>
      <c r="E70" s="29">
        <v>7809896.1799999997</v>
      </c>
      <c r="F70" s="29">
        <v>0</v>
      </c>
      <c r="G70" s="182"/>
      <c r="H70" s="29">
        <v>0</v>
      </c>
      <c r="I70" s="182"/>
      <c r="J70" s="29">
        <v>7809896.1799999997</v>
      </c>
      <c r="K70" s="31">
        <f t="shared" si="2"/>
        <v>0</v>
      </c>
      <c r="L70" s="202">
        <f t="shared" si="3"/>
        <v>0</v>
      </c>
    </row>
    <row r="71" spans="1:12" ht="15.95" customHeight="1" x14ac:dyDescent="0.2">
      <c r="A71" s="179">
        <v>1240101</v>
      </c>
      <c r="B71" s="369" t="s">
        <v>448</v>
      </c>
      <c r="C71" s="370"/>
      <c r="D71" s="370"/>
      <c r="E71" s="27">
        <v>7809896.1799999997</v>
      </c>
      <c r="F71" s="27">
        <v>0</v>
      </c>
      <c r="H71" s="27">
        <v>0</v>
      </c>
      <c r="J71" s="27">
        <v>7809896.1799999997</v>
      </c>
      <c r="K71" s="25">
        <f t="shared" si="2"/>
        <v>0</v>
      </c>
      <c r="L71" s="32">
        <f t="shared" si="3"/>
        <v>0</v>
      </c>
    </row>
    <row r="72" spans="1:12" ht="15.95" customHeight="1" x14ac:dyDescent="0.2">
      <c r="A72" s="179">
        <v>12499</v>
      </c>
      <c r="B72" s="369" t="s">
        <v>451</v>
      </c>
      <c r="C72" s="370"/>
      <c r="D72" s="370"/>
      <c r="E72" s="27">
        <v>-6813075.4900000002</v>
      </c>
      <c r="F72" s="27">
        <v>0</v>
      </c>
      <c r="H72" s="27">
        <v>102908.85</v>
      </c>
      <c r="J72" s="27">
        <v>-6915984.3399999999</v>
      </c>
      <c r="K72" s="25">
        <f t="shared" si="2"/>
        <v>-102908.84999999963</v>
      </c>
      <c r="L72" s="32">
        <f t="shared" si="3"/>
        <v>-102.90884999999963</v>
      </c>
    </row>
    <row r="73" spans="1:12" ht="15.95" customHeight="1" x14ac:dyDescent="0.2">
      <c r="A73" s="179">
        <v>1249901</v>
      </c>
      <c r="B73" s="369" t="s">
        <v>451</v>
      </c>
      <c r="C73" s="370"/>
      <c r="D73" s="370"/>
      <c r="E73" s="27">
        <v>-6811546.21</v>
      </c>
      <c r="F73" s="27">
        <v>0</v>
      </c>
      <c r="H73" s="27">
        <v>102908.85</v>
      </c>
      <c r="J73" s="27">
        <v>-6914455.0599999996</v>
      </c>
      <c r="K73" s="25">
        <f t="shared" si="2"/>
        <v>-102908.84999999963</v>
      </c>
      <c r="L73" s="32">
        <f t="shared" si="3"/>
        <v>-102.90884999999963</v>
      </c>
    </row>
    <row r="74" spans="1:12" ht="15.95" customHeight="1" x14ac:dyDescent="0.2">
      <c r="A74" s="179">
        <v>1249902</v>
      </c>
      <c r="B74" s="369" t="s">
        <v>453</v>
      </c>
      <c r="C74" s="370"/>
      <c r="D74" s="370"/>
      <c r="E74" s="27">
        <v>-1529.28</v>
      </c>
      <c r="F74" s="27">
        <v>0</v>
      </c>
      <c r="H74" s="27">
        <v>0</v>
      </c>
      <c r="J74" s="27">
        <v>-1529.28</v>
      </c>
      <c r="K74" s="25">
        <f t="shared" si="2"/>
        <v>0</v>
      </c>
      <c r="L74" s="32">
        <f t="shared" si="3"/>
        <v>0</v>
      </c>
    </row>
    <row r="75" spans="1:12" ht="15.95" customHeight="1" x14ac:dyDescent="0.2">
      <c r="A75" s="179">
        <v>13</v>
      </c>
      <c r="B75" s="369" t="s">
        <v>455</v>
      </c>
      <c r="C75" s="370"/>
      <c r="D75" s="370"/>
      <c r="E75" s="27">
        <v>1236717.49</v>
      </c>
      <c r="F75" s="27">
        <v>0</v>
      </c>
      <c r="H75" s="27">
        <v>0</v>
      </c>
      <c r="J75" s="27">
        <v>1236717.49</v>
      </c>
      <c r="K75" s="25">
        <f t="shared" si="2"/>
        <v>0</v>
      </c>
      <c r="L75" s="32">
        <f t="shared" si="3"/>
        <v>0</v>
      </c>
    </row>
    <row r="76" spans="1:12" ht="15.95" customHeight="1" x14ac:dyDescent="0.2">
      <c r="A76" s="179">
        <v>131</v>
      </c>
      <c r="B76" s="369" t="s">
        <v>456</v>
      </c>
      <c r="C76" s="370"/>
      <c r="D76" s="370"/>
      <c r="E76" s="27">
        <v>1236717.49</v>
      </c>
      <c r="F76" s="27">
        <v>0</v>
      </c>
      <c r="H76" s="27">
        <v>0</v>
      </c>
      <c r="J76" s="27">
        <v>1236717.49</v>
      </c>
      <c r="K76" s="25">
        <f t="shared" si="2"/>
        <v>0</v>
      </c>
      <c r="L76" s="32">
        <f t="shared" si="3"/>
        <v>0</v>
      </c>
    </row>
    <row r="77" spans="1:12" ht="15.95" customHeight="1" x14ac:dyDescent="0.2">
      <c r="A77" s="179">
        <v>13101</v>
      </c>
      <c r="B77" s="369" t="s">
        <v>344</v>
      </c>
      <c r="C77" s="370"/>
      <c r="D77" s="370"/>
      <c r="E77" s="27">
        <v>1236717.49</v>
      </c>
      <c r="F77" s="27">
        <v>0</v>
      </c>
      <c r="H77" s="27">
        <v>0</v>
      </c>
      <c r="J77" s="27">
        <v>1236717.49</v>
      </c>
      <c r="K77" s="25">
        <f t="shared" si="2"/>
        <v>0</v>
      </c>
      <c r="L77" s="32">
        <f t="shared" si="3"/>
        <v>0</v>
      </c>
    </row>
    <row r="78" spans="1:12" ht="15.95" customHeight="1" x14ac:dyDescent="0.2">
      <c r="A78" s="179">
        <v>1310101</v>
      </c>
      <c r="B78" s="369" t="s">
        <v>457</v>
      </c>
      <c r="C78" s="370"/>
      <c r="D78" s="370"/>
      <c r="E78" s="27">
        <v>1236717.49</v>
      </c>
      <c r="F78" s="27">
        <v>0</v>
      </c>
      <c r="H78" s="27">
        <v>0</v>
      </c>
      <c r="J78" s="27">
        <v>1236717.49</v>
      </c>
      <c r="K78" s="25">
        <f t="shared" si="2"/>
        <v>0</v>
      </c>
      <c r="L78" s="32">
        <f t="shared" si="3"/>
        <v>0</v>
      </c>
    </row>
    <row r="79" spans="1:12" ht="15.95" customHeight="1" x14ac:dyDescent="0.2">
      <c r="A79" s="179">
        <v>2</v>
      </c>
      <c r="B79" s="369" t="s">
        <v>460</v>
      </c>
      <c r="C79" s="370"/>
      <c r="D79" s="370"/>
      <c r="E79" s="27">
        <v>-312886843.25999999</v>
      </c>
      <c r="F79" s="27">
        <v>27264395.620000001</v>
      </c>
      <c r="H79" s="27">
        <v>25700935.23</v>
      </c>
      <c r="J79" s="27">
        <v>-311323382.87</v>
      </c>
      <c r="K79" s="25">
        <f t="shared" si="2"/>
        <v>1563460.3899999857</v>
      </c>
      <c r="L79" s="32">
        <f t="shared" si="3"/>
        <v>1563.4603899999856</v>
      </c>
    </row>
    <row r="80" spans="1:12" ht="15.95" customHeight="1" x14ac:dyDescent="0.2">
      <c r="A80" s="179">
        <v>21</v>
      </c>
      <c r="B80" s="369" t="s">
        <v>461</v>
      </c>
      <c r="C80" s="370"/>
      <c r="D80" s="370"/>
      <c r="E80" s="27">
        <v>-18484679.27</v>
      </c>
      <c r="F80" s="27">
        <v>19476677.440000001</v>
      </c>
      <c r="H80" s="27">
        <v>17613622.210000001</v>
      </c>
      <c r="J80" s="27">
        <v>-16621624.039999999</v>
      </c>
      <c r="K80" s="25">
        <f t="shared" si="2"/>
        <v>1863055.2300000004</v>
      </c>
      <c r="L80" s="32">
        <f t="shared" si="3"/>
        <v>1863.0552300000004</v>
      </c>
    </row>
    <row r="81" spans="1:12" ht="15.95" customHeight="1" x14ac:dyDescent="0.2">
      <c r="A81" s="179">
        <v>211</v>
      </c>
      <c r="B81" s="369" t="s">
        <v>462</v>
      </c>
      <c r="C81" s="370"/>
      <c r="D81" s="370"/>
      <c r="E81" s="27">
        <v>-1008264.17</v>
      </c>
      <c r="F81" s="27">
        <v>6727004.6299999999</v>
      </c>
      <c r="H81" s="27">
        <v>6731270.8700000001</v>
      </c>
      <c r="J81" s="27">
        <v>-1012530.41</v>
      </c>
      <c r="K81" s="25">
        <f t="shared" si="2"/>
        <v>-4266.2399999999907</v>
      </c>
      <c r="L81" s="32">
        <f t="shared" si="3"/>
        <v>-4.2662399999999909</v>
      </c>
    </row>
    <row r="82" spans="1:12" ht="15.95" customHeight="1" x14ac:dyDescent="0.2">
      <c r="A82" s="181">
        <v>21101</v>
      </c>
      <c r="B82" s="371" t="s">
        <v>462</v>
      </c>
      <c r="C82" s="372"/>
      <c r="D82" s="372"/>
      <c r="E82" s="29">
        <v>-1008264.17</v>
      </c>
      <c r="F82" s="29">
        <v>6727004.6299999999</v>
      </c>
      <c r="G82" s="182"/>
      <c r="H82" s="29">
        <v>6731270.8700000001</v>
      </c>
      <c r="I82" s="182"/>
      <c r="J82" s="29">
        <v>-1012530.41</v>
      </c>
      <c r="K82" s="31">
        <f t="shared" si="2"/>
        <v>-4266.2399999999907</v>
      </c>
      <c r="L82" s="202">
        <f t="shared" si="3"/>
        <v>-4.2662399999999909</v>
      </c>
    </row>
    <row r="83" spans="1:12" ht="15.95" customHeight="1" x14ac:dyDescent="0.2">
      <c r="A83" s="179">
        <v>2110101</v>
      </c>
      <c r="B83" s="369" t="s">
        <v>463</v>
      </c>
      <c r="C83" s="370"/>
      <c r="D83" s="370"/>
      <c r="E83" s="27">
        <v>-747373.37</v>
      </c>
      <c r="F83" s="27">
        <v>5966948.4800000004</v>
      </c>
      <c r="H83" s="27">
        <v>6064311.6100000003</v>
      </c>
      <c r="J83" s="27">
        <v>-844736.5</v>
      </c>
      <c r="K83" s="25">
        <f t="shared" si="2"/>
        <v>-97363.13</v>
      </c>
      <c r="L83" s="32">
        <f t="shared" si="3"/>
        <v>-97.363129999999998</v>
      </c>
    </row>
    <row r="84" spans="1:12" ht="15.95" customHeight="1" x14ac:dyDescent="0.2">
      <c r="A84" s="179">
        <v>2110102</v>
      </c>
      <c r="B84" s="369" t="s">
        <v>566</v>
      </c>
      <c r="C84" s="370"/>
      <c r="D84" s="370"/>
      <c r="E84" s="27">
        <v>-260890.8</v>
      </c>
      <c r="F84" s="27">
        <v>760056.15</v>
      </c>
      <c r="H84" s="27">
        <v>666959.26</v>
      </c>
      <c r="J84" s="27">
        <v>-167793.91</v>
      </c>
      <c r="K84" s="25">
        <f t="shared" si="2"/>
        <v>93096.889999999985</v>
      </c>
      <c r="L84" s="32">
        <f t="shared" si="3"/>
        <v>93.096889999999988</v>
      </c>
    </row>
    <row r="85" spans="1:12" ht="15.95" customHeight="1" x14ac:dyDescent="0.2">
      <c r="A85" s="181">
        <v>213</v>
      </c>
      <c r="B85" s="371" t="s">
        <v>615</v>
      </c>
      <c r="C85" s="372"/>
      <c r="D85" s="372"/>
      <c r="E85" s="29">
        <v>-3083384.52</v>
      </c>
      <c r="F85" s="29">
        <v>4690216.43</v>
      </c>
      <c r="G85" s="182"/>
      <c r="H85" s="29">
        <v>4461851.47</v>
      </c>
      <c r="I85" s="182"/>
      <c r="J85" s="29">
        <v>-2855019.56</v>
      </c>
      <c r="K85" s="31">
        <f t="shared" si="2"/>
        <v>228364.95999999996</v>
      </c>
      <c r="L85" s="202">
        <f t="shared" si="3"/>
        <v>228.36495999999997</v>
      </c>
    </row>
    <row r="86" spans="1:12" ht="15.95" customHeight="1" x14ac:dyDescent="0.2">
      <c r="A86" s="179">
        <v>21301</v>
      </c>
      <c r="B86" s="369" t="s">
        <v>615</v>
      </c>
      <c r="C86" s="370"/>
      <c r="D86" s="370"/>
      <c r="E86" s="27">
        <v>-3083384.52</v>
      </c>
      <c r="F86" s="27">
        <v>4690216.43</v>
      </c>
      <c r="H86" s="27">
        <v>4461851.47</v>
      </c>
      <c r="J86" s="27">
        <v>-2855019.56</v>
      </c>
      <c r="K86" s="25">
        <f t="shared" si="2"/>
        <v>228364.95999999996</v>
      </c>
      <c r="L86" s="32">
        <f t="shared" si="3"/>
        <v>228.36495999999997</v>
      </c>
    </row>
    <row r="87" spans="1:12" ht="15.95" customHeight="1" x14ac:dyDescent="0.2">
      <c r="A87" s="179">
        <v>2130101</v>
      </c>
      <c r="B87" s="369" t="s">
        <v>615</v>
      </c>
      <c r="C87" s="370"/>
      <c r="D87" s="370"/>
      <c r="E87" s="27">
        <v>-3083384.52</v>
      </c>
      <c r="F87" s="27">
        <v>4690216.43</v>
      </c>
      <c r="H87" s="27">
        <v>4461851.47</v>
      </c>
      <c r="J87" s="27">
        <v>-2855019.56</v>
      </c>
      <c r="K87" s="25">
        <f t="shared" si="2"/>
        <v>228364.95999999996</v>
      </c>
      <c r="L87" s="32">
        <f t="shared" si="3"/>
        <v>228.36495999999997</v>
      </c>
    </row>
    <row r="88" spans="1:12" ht="15.95" customHeight="1" x14ac:dyDescent="0.2">
      <c r="A88" s="181">
        <v>214</v>
      </c>
      <c r="B88" s="371" t="s">
        <v>628</v>
      </c>
      <c r="C88" s="372"/>
      <c r="D88" s="372"/>
      <c r="E88" s="29">
        <v>-6512241.04</v>
      </c>
      <c r="F88" s="29">
        <v>6567124.2000000002</v>
      </c>
      <c r="G88" s="182"/>
      <c r="H88" s="29">
        <v>4300071.75</v>
      </c>
      <c r="I88" s="182"/>
      <c r="J88" s="29">
        <v>-4245188.59</v>
      </c>
      <c r="K88" s="31">
        <f t="shared" si="2"/>
        <v>2267052.4500000002</v>
      </c>
      <c r="L88" s="202">
        <f t="shared" si="3"/>
        <v>2267.0524500000001</v>
      </c>
    </row>
    <row r="89" spans="1:12" ht="15.95" customHeight="1" x14ac:dyDescent="0.2">
      <c r="A89" s="179">
        <v>21401</v>
      </c>
      <c r="B89" s="369" t="s">
        <v>628</v>
      </c>
      <c r="C89" s="370"/>
      <c r="D89" s="370"/>
      <c r="E89" s="27">
        <v>-6512241.04</v>
      </c>
      <c r="F89" s="27">
        <v>6567124.2000000002</v>
      </c>
      <c r="H89" s="27">
        <v>4300071.75</v>
      </c>
      <c r="J89" s="27">
        <v>-4245188.59</v>
      </c>
      <c r="K89" s="25">
        <f t="shared" si="2"/>
        <v>2267052.4500000002</v>
      </c>
      <c r="L89" s="32">
        <f t="shared" si="3"/>
        <v>2267.0524500000001</v>
      </c>
    </row>
    <row r="90" spans="1:12" ht="15.95" customHeight="1" x14ac:dyDescent="0.2">
      <c r="A90" s="179">
        <v>2140101</v>
      </c>
      <c r="B90" s="369" t="s">
        <v>628</v>
      </c>
      <c r="C90" s="370"/>
      <c r="D90" s="370"/>
      <c r="E90" s="27">
        <v>-6512241.04</v>
      </c>
      <c r="F90" s="27">
        <v>6567124.2000000002</v>
      </c>
      <c r="H90" s="27">
        <v>4300071.75</v>
      </c>
      <c r="J90" s="27">
        <v>-4245188.59</v>
      </c>
      <c r="K90" s="25">
        <f t="shared" si="2"/>
        <v>2267052.4500000002</v>
      </c>
      <c r="L90" s="32">
        <f t="shared" si="3"/>
        <v>2267.0524500000001</v>
      </c>
    </row>
    <row r="91" spans="1:12" ht="15.95" customHeight="1" x14ac:dyDescent="0.2">
      <c r="A91" s="181">
        <v>215</v>
      </c>
      <c r="B91" s="371" t="s">
        <v>655</v>
      </c>
      <c r="C91" s="372"/>
      <c r="D91" s="372"/>
      <c r="E91" s="29">
        <v>-237660.49</v>
      </c>
      <c r="F91" s="29">
        <v>719403.55</v>
      </c>
      <c r="G91" s="182"/>
      <c r="H91" s="29">
        <v>707729.16</v>
      </c>
      <c r="I91" s="182"/>
      <c r="J91" s="29">
        <v>-225986.1</v>
      </c>
      <c r="K91" s="31">
        <f t="shared" si="2"/>
        <v>11674.389999999985</v>
      </c>
      <c r="L91" s="202">
        <f t="shared" si="3"/>
        <v>11.674389999999985</v>
      </c>
    </row>
    <row r="92" spans="1:12" ht="15.95" customHeight="1" x14ac:dyDescent="0.2">
      <c r="A92" s="179">
        <v>21501</v>
      </c>
      <c r="B92" s="369" t="s">
        <v>655</v>
      </c>
      <c r="C92" s="370"/>
      <c r="D92" s="370"/>
      <c r="E92" s="27">
        <v>-237660.49</v>
      </c>
      <c r="F92" s="27">
        <v>719403.55</v>
      </c>
      <c r="H92" s="27">
        <v>707729.16</v>
      </c>
      <c r="J92" s="27">
        <v>-225986.1</v>
      </c>
      <c r="K92" s="25">
        <f t="shared" si="2"/>
        <v>11674.389999999985</v>
      </c>
      <c r="L92" s="32">
        <f t="shared" si="3"/>
        <v>11.674389999999985</v>
      </c>
    </row>
    <row r="93" spans="1:12" ht="15.95" customHeight="1" x14ac:dyDescent="0.2">
      <c r="A93" s="179">
        <v>2150101</v>
      </c>
      <c r="B93" s="369" t="s">
        <v>656</v>
      </c>
      <c r="C93" s="370"/>
      <c r="D93" s="370"/>
      <c r="E93" s="27">
        <v>-200268.27</v>
      </c>
      <c r="F93" s="27">
        <v>593405.9</v>
      </c>
      <c r="H93" s="27">
        <v>585352.62</v>
      </c>
      <c r="J93" s="27">
        <v>-192214.99</v>
      </c>
      <c r="K93" s="25">
        <f t="shared" si="2"/>
        <v>8053.2799999999988</v>
      </c>
      <c r="L93" s="32">
        <f t="shared" si="3"/>
        <v>8.0532799999999991</v>
      </c>
    </row>
    <row r="94" spans="1:12" ht="15.95" customHeight="1" x14ac:dyDescent="0.2">
      <c r="A94" s="179">
        <v>2150102</v>
      </c>
      <c r="B94" s="369" t="s">
        <v>679</v>
      </c>
      <c r="C94" s="370"/>
      <c r="D94" s="370"/>
      <c r="E94" s="27">
        <v>-37392.22</v>
      </c>
      <c r="F94" s="27">
        <v>125997.65</v>
      </c>
      <c r="H94" s="27">
        <v>122376.54</v>
      </c>
      <c r="J94" s="27">
        <v>-33771.11</v>
      </c>
      <c r="K94" s="25">
        <f t="shared" si="2"/>
        <v>3621.1100000000006</v>
      </c>
      <c r="L94" s="32">
        <f t="shared" si="3"/>
        <v>3.6211100000000007</v>
      </c>
    </row>
    <row r="95" spans="1:12" ht="15.95" customHeight="1" x14ac:dyDescent="0.2">
      <c r="A95" s="181">
        <v>217</v>
      </c>
      <c r="B95" s="371" t="s">
        <v>686</v>
      </c>
      <c r="C95" s="372"/>
      <c r="D95" s="372"/>
      <c r="E95" s="29">
        <v>-4791097.9400000004</v>
      </c>
      <c r="F95" s="29">
        <v>103342.97</v>
      </c>
      <c r="G95" s="182"/>
      <c r="H95" s="29">
        <v>293734.76</v>
      </c>
      <c r="I95" s="182"/>
      <c r="J95" s="29">
        <v>-4981489.7300000004</v>
      </c>
      <c r="K95" s="31">
        <f t="shared" si="2"/>
        <v>-190391.79000000004</v>
      </c>
      <c r="L95" s="202">
        <f t="shared" si="3"/>
        <v>-190.39179000000004</v>
      </c>
    </row>
    <row r="96" spans="1:12" ht="15.95" customHeight="1" x14ac:dyDescent="0.2">
      <c r="A96" s="179">
        <v>21701</v>
      </c>
      <c r="B96" s="369" t="s">
        <v>686</v>
      </c>
      <c r="C96" s="370"/>
      <c r="D96" s="370"/>
      <c r="E96" s="27">
        <v>-4791097.9400000004</v>
      </c>
      <c r="F96" s="27">
        <v>103342.97</v>
      </c>
      <c r="H96" s="27">
        <v>293734.76</v>
      </c>
      <c r="J96" s="27">
        <v>-4981489.7300000004</v>
      </c>
      <c r="K96" s="25">
        <f t="shared" si="2"/>
        <v>-190391.79000000004</v>
      </c>
      <c r="L96" s="32">
        <f t="shared" si="3"/>
        <v>-190.39179000000004</v>
      </c>
    </row>
    <row r="97" spans="1:15" ht="15.95" customHeight="1" x14ac:dyDescent="0.2">
      <c r="A97" s="179">
        <v>2170101</v>
      </c>
      <c r="B97" s="369" t="s">
        <v>687</v>
      </c>
      <c r="C97" s="370"/>
      <c r="D97" s="370"/>
      <c r="E97" s="27">
        <v>-197700.74</v>
      </c>
      <c r="F97" s="27">
        <v>0</v>
      </c>
      <c r="H97" s="27">
        <v>0</v>
      </c>
      <c r="J97" s="27">
        <v>-197700.74</v>
      </c>
      <c r="K97" s="25">
        <f t="shared" si="2"/>
        <v>0</v>
      </c>
      <c r="L97" s="32">
        <f t="shared" si="3"/>
        <v>0</v>
      </c>
    </row>
    <row r="98" spans="1:15" ht="15.95" customHeight="1" x14ac:dyDescent="0.2">
      <c r="A98" s="179">
        <v>2170102</v>
      </c>
      <c r="B98" s="369" t="s">
        <v>710</v>
      </c>
      <c r="C98" s="370"/>
      <c r="D98" s="370"/>
      <c r="E98" s="27">
        <v>-1689267.6</v>
      </c>
      <c r="F98" s="27">
        <v>103342.97</v>
      </c>
      <c r="H98" s="27">
        <v>121661.78</v>
      </c>
      <c r="J98" s="27">
        <v>-1707586.41</v>
      </c>
      <c r="K98" s="25">
        <f t="shared" si="2"/>
        <v>-18318.809999999823</v>
      </c>
      <c r="L98" s="32">
        <f t="shared" si="3"/>
        <v>-18.318809999999822</v>
      </c>
    </row>
    <row r="99" spans="1:15" ht="15.95" customHeight="1" x14ac:dyDescent="0.2">
      <c r="A99" s="179">
        <v>2170103</v>
      </c>
      <c r="B99" s="369" t="s">
        <v>926</v>
      </c>
      <c r="C99" s="370"/>
      <c r="D99" s="370"/>
      <c r="E99" s="27">
        <v>-2074158.23</v>
      </c>
      <c r="F99" s="27">
        <v>0</v>
      </c>
      <c r="H99" s="27">
        <v>0</v>
      </c>
      <c r="J99" s="27">
        <v>-2074158.23</v>
      </c>
      <c r="K99" s="25">
        <f t="shared" si="2"/>
        <v>0</v>
      </c>
      <c r="L99" s="32">
        <f t="shared" si="3"/>
        <v>0</v>
      </c>
    </row>
    <row r="100" spans="1:15" ht="15.95" customHeight="1" x14ac:dyDescent="0.2">
      <c r="A100" s="179">
        <v>2170104</v>
      </c>
      <c r="B100" s="369" t="s">
        <v>975</v>
      </c>
      <c r="C100" s="370"/>
      <c r="D100" s="370"/>
      <c r="E100" s="27">
        <v>-829971.37</v>
      </c>
      <c r="F100" s="27">
        <v>0</v>
      </c>
      <c r="H100" s="27">
        <v>172072.98</v>
      </c>
      <c r="J100" s="27">
        <v>-1002044.35</v>
      </c>
      <c r="K100" s="25">
        <f t="shared" si="2"/>
        <v>-172072.97999999998</v>
      </c>
      <c r="L100" s="32">
        <f t="shared" si="3"/>
        <v>-172.07297999999997</v>
      </c>
    </row>
    <row r="101" spans="1:15" ht="15.95" customHeight="1" x14ac:dyDescent="0.2">
      <c r="A101" s="179">
        <v>218</v>
      </c>
      <c r="B101" s="369" t="s">
        <v>1042</v>
      </c>
      <c r="C101" s="370"/>
      <c r="D101" s="370"/>
      <c r="E101" s="27">
        <v>-547856.61</v>
      </c>
      <c r="F101" s="27">
        <v>107662.25</v>
      </c>
      <c r="H101" s="27">
        <v>107673.15</v>
      </c>
      <c r="J101" s="27">
        <v>-547867.51</v>
      </c>
      <c r="K101" s="25">
        <f t="shared" si="2"/>
        <v>-10.900000000023283</v>
      </c>
      <c r="L101" s="32">
        <f t="shared" si="3"/>
        <v>-1.0900000000023283E-2</v>
      </c>
    </row>
    <row r="102" spans="1:15" ht="15.95" customHeight="1" x14ac:dyDescent="0.2">
      <c r="A102" s="181">
        <v>21801</v>
      </c>
      <c r="B102" s="371" t="s">
        <v>1043</v>
      </c>
      <c r="C102" s="372"/>
      <c r="D102" s="372"/>
      <c r="E102" s="29">
        <v>111270.33</v>
      </c>
      <c r="F102" s="29">
        <v>1.03</v>
      </c>
      <c r="G102" s="182"/>
      <c r="H102" s="29">
        <v>11.93</v>
      </c>
      <c r="I102" s="182"/>
      <c r="J102" s="29">
        <v>111259.43</v>
      </c>
      <c r="K102" s="31">
        <f t="shared" si="2"/>
        <v>-10.900000000008731</v>
      </c>
      <c r="L102" s="202">
        <f t="shared" si="3"/>
        <v>-1.0900000000008731E-2</v>
      </c>
    </row>
    <row r="103" spans="1:15" ht="15.95" customHeight="1" x14ac:dyDescent="0.2">
      <c r="A103" s="179">
        <v>2180102</v>
      </c>
      <c r="B103" s="369" t="s">
        <v>1044</v>
      </c>
      <c r="C103" s="370"/>
      <c r="D103" s="370"/>
      <c r="E103" s="27">
        <v>-91882.02</v>
      </c>
      <c r="F103" s="27">
        <v>1.03</v>
      </c>
      <c r="H103" s="27">
        <v>4.6100000000000003</v>
      </c>
      <c r="J103" s="27">
        <v>-91885.6</v>
      </c>
      <c r="K103" s="25">
        <f t="shared" si="2"/>
        <v>-3.5800000000017462</v>
      </c>
      <c r="L103" s="32">
        <f t="shared" si="3"/>
        <v>-3.5800000000017463E-3</v>
      </c>
    </row>
    <row r="104" spans="1:15" ht="15.95" customHeight="1" x14ac:dyDescent="0.2">
      <c r="A104" s="179">
        <v>2180103</v>
      </c>
      <c r="B104" s="369" t="s">
        <v>1047</v>
      </c>
      <c r="C104" s="370"/>
      <c r="D104" s="370"/>
      <c r="E104" s="27">
        <v>203152.35</v>
      </c>
      <c r="F104" s="27">
        <v>0</v>
      </c>
      <c r="H104" s="27">
        <v>7.32</v>
      </c>
      <c r="J104" s="27">
        <v>203145.03</v>
      </c>
      <c r="K104" s="25">
        <f t="shared" si="2"/>
        <v>-7.3200000000069849</v>
      </c>
      <c r="L104" s="32">
        <f t="shared" si="3"/>
        <v>-7.320000000006985E-3</v>
      </c>
    </row>
    <row r="105" spans="1:15" ht="15.95" customHeight="1" x14ac:dyDescent="0.2">
      <c r="A105" s="181">
        <v>21802</v>
      </c>
      <c r="B105" s="371" t="s">
        <v>1050</v>
      </c>
      <c r="C105" s="372"/>
      <c r="D105" s="372"/>
      <c r="E105" s="29">
        <v>-659126.93999999994</v>
      </c>
      <c r="F105" s="29">
        <v>107661.22</v>
      </c>
      <c r="G105" s="182"/>
      <c r="H105" s="29">
        <v>107661.22</v>
      </c>
      <c r="I105" s="182"/>
      <c r="J105" s="29">
        <v>-659126.93999999994</v>
      </c>
      <c r="K105" s="31">
        <f t="shared" si="2"/>
        <v>0</v>
      </c>
      <c r="L105" s="202">
        <f t="shared" si="3"/>
        <v>0</v>
      </c>
    </row>
    <row r="106" spans="1:15" ht="15.95" customHeight="1" x14ac:dyDescent="0.2">
      <c r="A106" s="179">
        <v>2180201</v>
      </c>
      <c r="B106" s="369" t="s">
        <v>1051</v>
      </c>
      <c r="C106" s="370"/>
      <c r="D106" s="370"/>
      <c r="E106" s="27">
        <v>-141210.92000000001</v>
      </c>
      <c r="F106" s="27">
        <v>107661.22</v>
      </c>
      <c r="H106" s="27">
        <v>0</v>
      </c>
      <c r="J106" s="27">
        <v>-33549.699999999997</v>
      </c>
      <c r="K106" s="25">
        <f t="shared" si="2"/>
        <v>107661.22000000002</v>
      </c>
      <c r="L106" s="32">
        <f t="shared" si="3"/>
        <v>107.66122000000001</v>
      </c>
    </row>
    <row r="107" spans="1:15" ht="15.95" customHeight="1" x14ac:dyDescent="0.2">
      <c r="A107" s="179">
        <v>2180202</v>
      </c>
      <c r="B107" s="369" t="s">
        <v>1054</v>
      </c>
      <c r="C107" s="370"/>
      <c r="D107" s="370"/>
      <c r="E107" s="27">
        <v>-3333.33</v>
      </c>
      <c r="F107" s="27">
        <v>0</v>
      </c>
      <c r="H107" s="27">
        <v>107661.22</v>
      </c>
      <c r="J107" s="27">
        <v>-110994.55</v>
      </c>
      <c r="K107" s="25">
        <f t="shared" si="2"/>
        <v>-107661.22</v>
      </c>
      <c r="L107" s="32">
        <f t="shared" si="3"/>
        <v>-107.66122</v>
      </c>
    </row>
    <row r="108" spans="1:15" ht="15.95" customHeight="1" x14ac:dyDescent="0.2">
      <c r="A108" s="179">
        <v>2180203</v>
      </c>
      <c r="B108" s="369" t="s">
        <v>1056</v>
      </c>
      <c r="C108" s="370"/>
      <c r="D108" s="370"/>
      <c r="E108" s="27">
        <v>-514582.69</v>
      </c>
      <c r="F108" s="27">
        <v>0</v>
      </c>
      <c r="H108" s="27">
        <v>0</v>
      </c>
      <c r="J108" s="27">
        <v>-514582.69</v>
      </c>
      <c r="K108" s="25">
        <f t="shared" si="2"/>
        <v>0</v>
      </c>
      <c r="L108" s="32">
        <f t="shared" si="3"/>
        <v>0</v>
      </c>
    </row>
    <row r="109" spans="1:15" ht="16.5" customHeight="1" x14ac:dyDescent="0.2">
      <c r="A109" s="181">
        <v>219</v>
      </c>
      <c r="B109" s="371" t="s">
        <v>1058</v>
      </c>
      <c r="C109" s="372"/>
      <c r="D109" s="372"/>
      <c r="E109" s="29">
        <v>-2304174.5</v>
      </c>
      <c r="F109" s="29">
        <v>561923.41</v>
      </c>
      <c r="G109" s="182"/>
      <c r="H109" s="29">
        <v>1011291.05</v>
      </c>
      <c r="I109" s="182"/>
      <c r="J109" s="29">
        <v>-2753542.14</v>
      </c>
      <c r="K109" s="31">
        <f t="shared" si="2"/>
        <v>-449367.64000000013</v>
      </c>
      <c r="L109" s="202">
        <f t="shared" si="3"/>
        <v>-449.36764000000011</v>
      </c>
    </row>
    <row r="110" spans="1:15" ht="15.95" customHeight="1" x14ac:dyDescent="0.2">
      <c r="A110" s="179">
        <v>21901</v>
      </c>
      <c r="B110" s="369" t="s">
        <v>1058</v>
      </c>
      <c r="C110" s="370"/>
      <c r="D110" s="370"/>
      <c r="E110" s="27">
        <v>-2304174.5</v>
      </c>
      <c r="F110" s="27">
        <v>561923.41</v>
      </c>
      <c r="H110" s="27">
        <v>1011291.05</v>
      </c>
      <c r="J110" s="27">
        <v>-2753542.14</v>
      </c>
      <c r="K110" s="25">
        <f t="shared" si="2"/>
        <v>-449367.64000000013</v>
      </c>
      <c r="L110" s="32">
        <f t="shared" si="3"/>
        <v>-449.36764000000011</v>
      </c>
      <c r="O110" s="25">
        <v>11454441.57</v>
      </c>
    </row>
    <row r="111" spans="1:15" ht="15.95" customHeight="1" x14ac:dyDescent="0.2">
      <c r="A111" s="179">
        <v>2190101</v>
      </c>
      <c r="B111" s="369" t="s">
        <v>1058</v>
      </c>
      <c r="C111" s="370"/>
      <c r="D111" s="370"/>
      <c r="E111" s="27">
        <v>-2304174.5</v>
      </c>
      <c r="F111" s="27">
        <v>561923.41</v>
      </c>
      <c r="H111" s="27">
        <v>1011291.05</v>
      </c>
      <c r="J111" s="27">
        <v>-2753542.14</v>
      </c>
      <c r="K111" s="25">
        <f t="shared" si="2"/>
        <v>-449367.64000000013</v>
      </c>
      <c r="L111" s="32">
        <f t="shared" si="3"/>
        <v>-449.36764000000011</v>
      </c>
      <c r="O111" s="25">
        <v>-7554100.7599999998</v>
      </c>
    </row>
    <row r="112" spans="1:15" ht="15.95" customHeight="1" x14ac:dyDescent="0.2">
      <c r="A112" s="179">
        <v>22</v>
      </c>
      <c r="B112" s="369" t="s">
        <v>1073</v>
      </c>
      <c r="C112" s="370"/>
      <c r="D112" s="370"/>
      <c r="E112" s="27">
        <v>-100635258.43000001</v>
      </c>
      <c r="F112" s="27">
        <v>1316176.72</v>
      </c>
      <c r="H112" s="27">
        <v>5721380.7400000002</v>
      </c>
      <c r="J112" s="27">
        <v>-105040462.45</v>
      </c>
      <c r="K112" s="25">
        <f t="shared" si="2"/>
        <v>-4405204.0199999958</v>
      </c>
      <c r="L112" s="32">
        <f t="shared" si="3"/>
        <v>-4405.2040199999956</v>
      </c>
      <c r="O112" s="25">
        <f>SUM(O110:O111)</f>
        <v>3900340.8100000005</v>
      </c>
    </row>
    <row r="113" spans="1:15" ht="15.95" customHeight="1" x14ac:dyDescent="0.2">
      <c r="A113" s="181">
        <v>224</v>
      </c>
      <c r="B113" s="371" t="s">
        <v>1074</v>
      </c>
      <c r="C113" s="372"/>
      <c r="D113" s="372"/>
      <c r="E113" s="29">
        <v>-2493525.11</v>
      </c>
      <c r="F113" s="29">
        <v>2284.52</v>
      </c>
      <c r="G113" s="182"/>
      <c r="H113" s="29">
        <v>49116.7</v>
      </c>
      <c r="I113" s="182"/>
      <c r="J113" s="29">
        <v>-2540357.29</v>
      </c>
      <c r="K113" s="31">
        <f t="shared" si="2"/>
        <v>-46832.180000000168</v>
      </c>
      <c r="L113" s="202">
        <f t="shared" si="3"/>
        <v>-46.832180000000164</v>
      </c>
      <c r="O113" s="25"/>
    </row>
    <row r="114" spans="1:15" ht="15.95" customHeight="1" x14ac:dyDescent="0.2">
      <c r="A114" s="179">
        <v>22401</v>
      </c>
      <c r="B114" s="369" t="s">
        <v>1075</v>
      </c>
      <c r="C114" s="370"/>
      <c r="D114" s="370"/>
      <c r="E114" s="27">
        <v>-2493525.11</v>
      </c>
      <c r="F114" s="27">
        <v>2284.52</v>
      </c>
      <c r="H114" s="27">
        <v>49116.7</v>
      </c>
      <c r="J114" s="27">
        <v>-2540357.29</v>
      </c>
      <c r="K114" s="25">
        <f t="shared" si="2"/>
        <v>-46832.180000000168</v>
      </c>
      <c r="L114" s="32">
        <f t="shared" si="3"/>
        <v>-46.832180000000164</v>
      </c>
    </row>
    <row r="115" spans="1:15" ht="15.95" customHeight="1" x14ac:dyDescent="0.2">
      <c r="A115" s="179">
        <v>2240101</v>
      </c>
      <c r="B115" s="369" t="s">
        <v>1075</v>
      </c>
      <c r="C115" s="370"/>
      <c r="D115" s="370"/>
      <c r="E115" s="27">
        <v>-2493525.11</v>
      </c>
      <c r="F115" s="27">
        <v>2284.52</v>
      </c>
      <c r="H115" s="27">
        <v>49116.7</v>
      </c>
      <c r="J115" s="27">
        <v>-2540357.29</v>
      </c>
      <c r="K115" s="25">
        <f t="shared" si="2"/>
        <v>-46832.180000000168</v>
      </c>
      <c r="L115" s="32">
        <f t="shared" si="3"/>
        <v>-46.832180000000164</v>
      </c>
    </row>
    <row r="116" spans="1:15" ht="15.95" customHeight="1" x14ac:dyDescent="0.2">
      <c r="A116" s="181">
        <v>225</v>
      </c>
      <c r="B116" s="371" t="s">
        <v>1078</v>
      </c>
      <c r="C116" s="372"/>
      <c r="D116" s="372"/>
      <c r="E116" s="29">
        <v>-54085300.020000003</v>
      </c>
      <c r="F116" s="29">
        <v>0</v>
      </c>
      <c r="G116" s="182"/>
      <c r="H116" s="29">
        <v>277483.24</v>
      </c>
      <c r="I116" s="182"/>
      <c r="J116" s="29">
        <v>-54362783.259999998</v>
      </c>
      <c r="K116" s="31">
        <f t="shared" si="2"/>
        <v>-277483.23999999464</v>
      </c>
      <c r="L116" s="202">
        <f t="shared" si="3"/>
        <v>-277.48323999999462</v>
      </c>
    </row>
    <row r="117" spans="1:15" ht="15.95" customHeight="1" x14ac:dyDescent="0.2">
      <c r="A117" s="179">
        <v>22501</v>
      </c>
      <c r="B117" s="369" t="s">
        <v>1079</v>
      </c>
      <c r="C117" s="370"/>
      <c r="D117" s="370"/>
      <c r="E117" s="27">
        <v>-54085300.020000003</v>
      </c>
      <c r="F117" s="27">
        <v>0</v>
      </c>
      <c r="H117" s="27">
        <v>277483.24</v>
      </c>
      <c r="J117" s="27">
        <v>-54362783.259999998</v>
      </c>
      <c r="K117" s="25">
        <f t="shared" si="2"/>
        <v>-277483.23999999464</v>
      </c>
      <c r="L117" s="32">
        <f t="shared" si="3"/>
        <v>-277.48323999999462</v>
      </c>
    </row>
    <row r="118" spans="1:15" ht="15.95" customHeight="1" x14ac:dyDescent="0.2">
      <c r="A118" s="179">
        <v>2250101</v>
      </c>
      <c r="B118" s="369" t="s">
        <v>1079</v>
      </c>
      <c r="C118" s="370"/>
      <c r="D118" s="370"/>
      <c r="E118" s="27">
        <v>-54085300.020000003</v>
      </c>
      <c r="F118" s="27">
        <v>0</v>
      </c>
      <c r="H118" s="27">
        <v>277483.24</v>
      </c>
      <c r="J118" s="27">
        <v>-54362783.259999998</v>
      </c>
      <c r="K118" s="25">
        <f t="shared" si="2"/>
        <v>-277483.23999999464</v>
      </c>
      <c r="L118" s="32">
        <f t="shared" si="3"/>
        <v>-277.48323999999462</v>
      </c>
    </row>
    <row r="119" spans="1:15" ht="15.95" customHeight="1" x14ac:dyDescent="0.2">
      <c r="A119" s="181">
        <v>226</v>
      </c>
      <c r="B119" s="371" t="s">
        <v>1084</v>
      </c>
      <c r="C119" s="372"/>
      <c r="D119" s="372"/>
      <c r="E119" s="29">
        <v>-44056433.299999997</v>
      </c>
      <c r="F119" s="29">
        <v>1313892.2</v>
      </c>
      <c r="G119" s="182"/>
      <c r="H119" s="29">
        <v>5394780.7999999998</v>
      </c>
      <c r="I119" s="182"/>
      <c r="J119" s="29">
        <v>-48137321.899999999</v>
      </c>
      <c r="K119" s="31">
        <f t="shared" si="2"/>
        <v>-4080888.6000000015</v>
      </c>
      <c r="L119" s="202">
        <f t="shared" si="3"/>
        <v>-4080.8886000000016</v>
      </c>
    </row>
    <row r="120" spans="1:15" ht="15.95" customHeight="1" x14ac:dyDescent="0.2">
      <c r="A120" s="179">
        <v>22601</v>
      </c>
      <c r="B120" s="369" t="s">
        <v>1085</v>
      </c>
      <c r="C120" s="370"/>
      <c r="D120" s="370"/>
      <c r="E120" s="27">
        <v>-44056433.299999997</v>
      </c>
      <c r="F120" s="27">
        <v>1313892.2</v>
      </c>
      <c r="H120" s="27">
        <v>5394780.7999999998</v>
      </c>
      <c r="J120" s="27">
        <v>-48137321.899999999</v>
      </c>
      <c r="K120" s="25">
        <f t="shared" si="2"/>
        <v>-4080888.6000000015</v>
      </c>
      <c r="L120" s="32">
        <f t="shared" si="3"/>
        <v>-4080.8886000000016</v>
      </c>
    </row>
    <row r="121" spans="1:15" ht="15.95" customHeight="1" x14ac:dyDescent="0.2">
      <c r="A121" s="179">
        <v>2260101</v>
      </c>
      <c r="B121" s="369" t="s">
        <v>1085</v>
      </c>
      <c r="C121" s="370"/>
      <c r="D121" s="370"/>
      <c r="E121" s="27">
        <v>-44056433.299999997</v>
      </c>
      <c r="F121" s="27">
        <v>1313892.2</v>
      </c>
      <c r="H121" s="27">
        <v>5394780.7999999998</v>
      </c>
      <c r="J121" s="27">
        <v>-48137321.899999999</v>
      </c>
      <c r="K121" s="25">
        <f t="shared" si="2"/>
        <v>-4080888.6000000015</v>
      </c>
      <c r="L121" s="32">
        <f t="shared" si="3"/>
        <v>-4080.8886000000016</v>
      </c>
    </row>
    <row r="122" spans="1:15" ht="15.95" customHeight="1" x14ac:dyDescent="0.2">
      <c r="A122" s="179">
        <v>23</v>
      </c>
      <c r="B122" s="369" t="s">
        <v>1091</v>
      </c>
      <c r="C122" s="370"/>
      <c r="D122" s="370"/>
      <c r="E122" s="27">
        <v>-192530188.06999999</v>
      </c>
      <c r="F122" s="27">
        <v>6471541.46</v>
      </c>
      <c r="H122" s="27">
        <v>2365932.2799999998</v>
      </c>
      <c r="J122" s="27">
        <v>-188424578.88999999</v>
      </c>
      <c r="K122" s="25">
        <f t="shared" si="2"/>
        <v>4105609.1800000072</v>
      </c>
      <c r="L122" s="32">
        <f t="shared" si="3"/>
        <v>4105.6091800000067</v>
      </c>
    </row>
    <row r="123" spans="1:15" ht="15.95" customHeight="1" x14ac:dyDescent="0.2">
      <c r="A123" s="179">
        <v>231</v>
      </c>
      <c r="B123" s="369" t="s">
        <v>1092</v>
      </c>
      <c r="C123" s="370"/>
      <c r="D123" s="370"/>
      <c r="E123" s="27">
        <v>-273318713.10000002</v>
      </c>
      <c r="F123" s="27">
        <v>0</v>
      </c>
      <c r="H123" s="27">
        <v>0</v>
      </c>
      <c r="J123" s="27">
        <v>-273318713.10000002</v>
      </c>
      <c r="K123" s="25">
        <f t="shared" si="2"/>
        <v>0</v>
      </c>
      <c r="L123" s="32">
        <f t="shared" si="3"/>
        <v>0</v>
      </c>
    </row>
    <row r="124" spans="1:15" ht="15.95" customHeight="1" x14ac:dyDescent="0.2">
      <c r="A124" s="179">
        <v>23101</v>
      </c>
      <c r="B124" s="369" t="s">
        <v>1092</v>
      </c>
      <c r="C124" s="370"/>
      <c r="D124" s="370"/>
      <c r="E124" s="27">
        <v>-273318713.10000002</v>
      </c>
      <c r="F124" s="27">
        <v>0</v>
      </c>
      <c r="H124" s="27">
        <v>0</v>
      </c>
      <c r="J124" s="27">
        <v>-273318713.10000002</v>
      </c>
      <c r="K124" s="25">
        <f t="shared" si="2"/>
        <v>0</v>
      </c>
      <c r="L124" s="32">
        <f t="shared" si="3"/>
        <v>0</v>
      </c>
    </row>
    <row r="125" spans="1:15" ht="15.95" customHeight="1" x14ac:dyDescent="0.2">
      <c r="A125" s="179">
        <v>2310101</v>
      </c>
      <c r="B125" s="369" t="s">
        <v>1092</v>
      </c>
      <c r="C125" s="370"/>
      <c r="D125" s="370"/>
      <c r="E125" s="27">
        <v>-273318713.10000002</v>
      </c>
      <c r="F125" s="27">
        <v>0</v>
      </c>
      <c r="H125" s="27">
        <v>0</v>
      </c>
      <c r="J125" s="27">
        <v>-273318713.10000002</v>
      </c>
      <c r="K125" s="25">
        <f t="shared" si="2"/>
        <v>0</v>
      </c>
      <c r="L125" s="32">
        <f t="shared" si="3"/>
        <v>0</v>
      </c>
    </row>
    <row r="126" spans="1:15" ht="15.95" customHeight="1" x14ac:dyDescent="0.2">
      <c r="A126" s="179">
        <v>234</v>
      </c>
      <c r="B126" s="369" t="s">
        <v>1095</v>
      </c>
      <c r="C126" s="370"/>
      <c r="D126" s="370"/>
      <c r="E126" s="27">
        <v>7657757</v>
      </c>
      <c r="F126" s="27">
        <v>3495840</v>
      </c>
      <c r="H126" s="27">
        <v>0</v>
      </c>
      <c r="J126" s="27">
        <v>11153597</v>
      </c>
      <c r="K126" s="25">
        <f t="shared" si="2"/>
        <v>3495840</v>
      </c>
      <c r="L126" s="32">
        <f t="shared" si="3"/>
        <v>3495.84</v>
      </c>
    </row>
    <row r="127" spans="1:15" ht="15.95" customHeight="1" x14ac:dyDescent="0.2">
      <c r="A127" s="179">
        <v>23401</v>
      </c>
      <c r="B127" s="369" t="s">
        <v>1096</v>
      </c>
      <c r="C127" s="370"/>
      <c r="D127" s="370"/>
      <c r="E127" s="27">
        <v>7657757</v>
      </c>
      <c r="F127" s="27">
        <v>3495840</v>
      </c>
      <c r="H127" s="27">
        <v>0</v>
      </c>
      <c r="J127" s="27">
        <v>11153597</v>
      </c>
      <c r="K127" s="25">
        <f t="shared" si="2"/>
        <v>3495840</v>
      </c>
      <c r="L127" s="32">
        <f t="shared" si="3"/>
        <v>3495.84</v>
      </c>
    </row>
    <row r="128" spans="1:15" ht="15.95" customHeight="1" x14ac:dyDescent="0.2">
      <c r="A128" s="179">
        <v>2340101</v>
      </c>
      <c r="B128" s="369" t="s">
        <v>1096</v>
      </c>
      <c r="C128" s="370"/>
      <c r="D128" s="370"/>
      <c r="E128" s="27">
        <v>7657757</v>
      </c>
      <c r="F128" s="27">
        <v>3495840</v>
      </c>
      <c r="H128" s="27">
        <v>0</v>
      </c>
      <c r="J128" s="27">
        <v>11153597</v>
      </c>
      <c r="K128" s="25">
        <f t="shared" si="2"/>
        <v>3495840</v>
      </c>
      <c r="L128" s="32">
        <f t="shared" si="3"/>
        <v>3495.84</v>
      </c>
    </row>
    <row r="129" spans="1:12" ht="15.95" customHeight="1" x14ac:dyDescent="0.2">
      <c r="A129" s="179">
        <v>237</v>
      </c>
      <c r="B129" s="369" t="s">
        <v>1099</v>
      </c>
      <c r="C129" s="370"/>
      <c r="D129" s="370"/>
      <c r="E129" s="27">
        <v>-1486852.15</v>
      </c>
      <c r="F129" s="27">
        <v>0</v>
      </c>
      <c r="H129" s="27">
        <v>7628.28</v>
      </c>
      <c r="J129" s="27">
        <v>-1494480.43</v>
      </c>
      <c r="K129" s="25">
        <f t="shared" si="2"/>
        <v>-7628.2800000000279</v>
      </c>
      <c r="L129" s="32">
        <f t="shared" si="3"/>
        <v>-7.6282800000000277</v>
      </c>
    </row>
    <row r="130" spans="1:12" ht="15.95" customHeight="1" x14ac:dyDescent="0.2">
      <c r="A130" s="179">
        <v>23701</v>
      </c>
      <c r="B130" s="369" t="s">
        <v>1100</v>
      </c>
      <c r="C130" s="370"/>
      <c r="D130" s="370"/>
      <c r="E130" s="27">
        <v>-1486852.15</v>
      </c>
      <c r="F130" s="27">
        <v>0</v>
      </c>
      <c r="H130" s="27">
        <v>7628.28</v>
      </c>
      <c r="J130" s="27">
        <v>-1494480.43</v>
      </c>
      <c r="K130" s="25">
        <f t="shared" si="2"/>
        <v>-7628.2800000000279</v>
      </c>
      <c r="L130" s="32">
        <f t="shared" si="3"/>
        <v>-7.6282800000000277</v>
      </c>
    </row>
    <row r="131" spans="1:12" ht="15.95" customHeight="1" x14ac:dyDescent="0.2">
      <c r="A131" s="181">
        <v>2370101</v>
      </c>
      <c r="B131" s="371" t="s">
        <v>1100</v>
      </c>
      <c r="C131" s="372"/>
      <c r="D131" s="372"/>
      <c r="E131" s="29">
        <v>-1486852.15</v>
      </c>
      <c r="F131" s="29">
        <v>0</v>
      </c>
      <c r="G131" s="182"/>
      <c r="H131" s="29">
        <v>7628.28</v>
      </c>
      <c r="I131" s="182"/>
      <c r="J131" s="29">
        <v>-1494480.43</v>
      </c>
      <c r="K131" s="31">
        <f t="shared" ref="K131:K194" si="4">J131-E131</f>
        <v>-7628.2800000000279</v>
      </c>
      <c r="L131" s="202">
        <f t="shared" ref="L131:L194" si="5">K131/1000</f>
        <v>-7.6282800000000277</v>
      </c>
    </row>
    <row r="132" spans="1:12" ht="15.95" customHeight="1" x14ac:dyDescent="0.2">
      <c r="A132" s="179">
        <v>238</v>
      </c>
      <c r="B132" s="369" t="s">
        <v>1103</v>
      </c>
      <c r="C132" s="370"/>
      <c r="D132" s="370"/>
      <c r="E132" s="27">
        <v>-8546606.6600000001</v>
      </c>
      <c r="F132" s="27">
        <v>0</v>
      </c>
      <c r="H132" s="27">
        <v>0</v>
      </c>
      <c r="J132" s="27">
        <v>-8546606.6600000001</v>
      </c>
      <c r="K132" s="25">
        <f t="shared" si="4"/>
        <v>0</v>
      </c>
      <c r="L132" s="32">
        <f t="shared" si="5"/>
        <v>0</v>
      </c>
    </row>
    <row r="133" spans="1:12" ht="15.95" customHeight="1" x14ac:dyDescent="0.2">
      <c r="A133" s="179">
        <v>23801</v>
      </c>
      <c r="B133" s="369" t="s">
        <v>1103</v>
      </c>
      <c r="C133" s="370"/>
      <c r="D133" s="370"/>
      <c r="E133" s="27">
        <v>-8546606.6600000001</v>
      </c>
      <c r="F133" s="27">
        <v>0</v>
      </c>
      <c r="H133" s="27">
        <v>0</v>
      </c>
      <c r="J133" s="27">
        <v>-8546606.6600000001</v>
      </c>
      <c r="K133" s="25">
        <f t="shared" si="4"/>
        <v>0</v>
      </c>
      <c r="L133" s="32">
        <f t="shared" si="5"/>
        <v>0</v>
      </c>
    </row>
    <row r="134" spans="1:12" ht="15.95" customHeight="1" x14ac:dyDescent="0.2">
      <c r="A134" s="179">
        <v>2380101</v>
      </c>
      <c r="B134" s="369" t="s">
        <v>1103</v>
      </c>
      <c r="C134" s="370"/>
      <c r="D134" s="370"/>
      <c r="E134" s="27">
        <v>-8546606.6600000001</v>
      </c>
      <c r="F134" s="27">
        <v>0</v>
      </c>
      <c r="H134" s="27">
        <v>0</v>
      </c>
      <c r="J134" s="27">
        <v>-8546606.6600000001</v>
      </c>
      <c r="K134" s="25">
        <f t="shared" si="4"/>
        <v>0</v>
      </c>
      <c r="L134" s="32">
        <f t="shared" si="5"/>
        <v>0</v>
      </c>
    </row>
    <row r="135" spans="1:12" ht="15.95" customHeight="1" x14ac:dyDescent="0.2">
      <c r="A135" s="179">
        <v>239</v>
      </c>
      <c r="B135" s="369" t="s">
        <v>1105</v>
      </c>
      <c r="C135" s="370"/>
      <c r="D135" s="370"/>
      <c r="E135" s="27">
        <v>83164226.840000004</v>
      </c>
      <c r="F135" s="27">
        <v>2975701.46</v>
      </c>
      <c r="H135" s="27">
        <v>2358304</v>
      </c>
      <c r="J135" s="27">
        <v>83781624.299999997</v>
      </c>
      <c r="K135" s="25">
        <f t="shared" si="4"/>
        <v>617397.45999999344</v>
      </c>
      <c r="L135" s="32">
        <f t="shared" si="5"/>
        <v>617.39745999999343</v>
      </c>
    </row>
    <row r="136" spans="1:12" ht="15.95" customHeight="1" x14ac:dyDescent="0.2">
      <c r="A136" s="179">
        <v>23901</v>
      </c>
      <c r="B136" s="369" t="s">
        <v>1105</v>
      </c>
      <c r="C136" s="370"/>
      <c r="D136" s="370"/>
      <c r="E136" s="27">
        <v>83164226.840000004</v>
      </c>
      <c r="F136" s="27">
        <v>2975701.46</v>
      </c>
      <c r="H136" s="27">
        <v>2358304</v>
      </c>
      <c r="J136" s="27">
        <v>83781624.299999997</v>
      </c>
      <c r="K136" s="25">
        <f t="shared" si="4"/>
        <v>617397.45999999344</v>
      </c>
      <c r="L136" s="32">
        <f t="shared" si="5"/>
        <v>617.39745999999343</v>
      </c>
    </row>
    <row r="137" spans="1:12" ht="15.95" customHeight="1" x14ac:dyDescent="0.2">
      <c r="A137" s="179">
        <v>2390101</v>
      </c>
      <c r="B137" s="369" t="s">
        <v>1106</v>
      </c>
      <c r="C137" s="370"/>
      <c r="D137" s="370"/>
      <c r="E137" s="27">
        <v>5991513.4699999997</v>
      </c>
      <c r="F137" s="27">
        <v>2975701.46</v>
      </c>
      <c r="H137" s="27">
        <v>1179152</v>
      </c>
      <c r="J137" s="27">
        <v>7788062.9299999997</v>
      </c>
      <c r="K137" s="25">
        <f t="shared" si="4"/>
        <v>1796549.46</v>
      </c>
      <c r="L137" s="32">
        <f t="shared" si="5"/>
        <v>1796.54946</v>
      </c>
    </row>
    <row r="138" spans="1:12" ht="15.95" customHeight="1" x14ac:dyDescent="0.2">
      <c r="A138" s="179">
        <v>2390102</v>
      </c>
      <c r="B138" s="369" t="s">
        <v>1111</v>
      </c>
      <c r="C138" s="370"/>
      <c r="D138" s="370"/>
      <c r="E138" s="27">
        <v>77172713.370000005</v>
      </c>
      <c r="F138" s="27">
        <v>0</v>
      </c>
      <c r="H138" s="27">
        <v>1179152</v>
      </c>
      <c r="J138" s="27">
        <v>75993561.370000005</v>
      </c>
      <c r="K138" s="25">
        <f t="shared" si="4"/>
        <v>-1179152</v>
      </c>
      <c r="L138" s="32">
        <f t="shared" si="5"/>
        <v>-1179.152</v>
      </c>
    </row>
    <row r="139" spans="1:12" ht="15.95" customHeight="1" x14ac:dyDescent="0.2">
      <c r="A139" s="179">
        <v>24</v>
      </c>
      <c r="B139" s="369" t="s">
        <v>1119</v>
      </c>
      <c r="C139" s="370"/>
      <c r="D139" s="370"/>
      <c r="E139" s="27">
        <v>-1236717.49</v>
      </c>
      <c r="F139" s="27">
        <v>0</v>
      </c>
      <c r="H139" s="27">
        <v>0</v>
      </c>
      <c r="J139" s="27">
        <v>-1236717.49</v>
      </c>
      <c r="K139" s="25">
        <f t="shared" si="4"/>
        <v>0</v>
      </c>
      <c r="L139" s="32">
        <f t="shared" si="5"/>
        <v>0</v>
      </c>
    </row>
    <row r="140" spans="1:12" ht="15.95" customHeight="1" x14ac:dyDescent="0.2">
      <c r="A140" s="179">
        <v>241</v>
      </c>
      <c r="B140" s="369" t="s">
        <v>456</v>
      </c>
      <c r="C140" s="370"/>
      <c r="D140" s="370"/>
      <c r="E140" s="27">
        <v>-1236717.49</v>
      </c>
      <c r="F140" s="27">
        <v>0</v>
      </c>
      <c r="H140" s="27">
        <v>0</v>
      </c>
      <c r="J140" s="27">
        <v>-1236717.49</v>
      </c>
      <c r="K140" s="25">
        <f t="shared" si="4"/>
        <v>0</v>
      </c>
      <c r="L140" s="32">
        <f t="shared" si="5"/>
        <v>0</v>
      </c>
    </row>
    <row r="141" spans="1:12" ht="15.95" customHeight="1" x14ac:dyDescent="0.2">
      <c r="A141" s="179">
        <v>24101</v>
      </c>
      <c r="B141" s="369" t="s">
        <v>1120</v>
      </c>
      <c r="C141" s="370"/>
      <c r="D141" s="370"/>
      <c r="E141" s="27">
        <v>-1236717.49</v>
      </c>
      <c r="F141" s="27">
        <v>0</v>
      </c>
      <c r="H141" s="27">
        <v>0</v>
      </c>
      <c r="J141" s="27">
        <v>-1236717.49</v>
      </c>
      <c r="K141" s="25">
        <f t="shared" si="4"/>
        <v>0</v>
      </c>
      <c r="L141" s="32">
        <f t="shared" si="5"/>
        <v>0</v>
      </c>
    </row>
    <row r="142" spans="1:12" ht="15.95" customHeight="1" x14ac:dyDescent="0.2">
      <c r="A142" s="179">
        <v>2410101</v>
      </c>
      <c r="B142" s="369" t="s">
        <v>457</v>
      </c>
      <c r="C142" s="370"/>
      <c r="D142" s="370"/>
      <c r="E142" s="27">
        <v>-1236717.49</v>
      </c>
      <c r="F142" s="27">
        <v>0</v>
      </c>
      <c r="H142" s="27">
        <v>0</v>
      </c>
      <c r="J142" s="27">
        <v>-1236717.49</v>
      </c>
      <c r="K142" s="25">
        <f t="shared" si="4"/>
        <v>0</v>
      </c>
      <c r="L142" s="32">
        <f t="shared" si="5"/>
        <v>0</v>
      </c>
    </row>
    <row r="143" spans="1:12" ht="15.95" customHeight="1" x14ac:dyDescent="0.2">
      <c r="A143" s="179">
        <v>3</v>
      </c>
      <c r="B143" s="369" t="s">
        <v>1122</v>
      </c>
      <c r="C143" s="370"/>
      <c r="D143" s="370"/>
      <c r="E143" s="27">
        <v>-28753931.609999999</v>
      </c>
      <c r="F143" s="27">
        <v>2274399.2599999998</v>
      </c>
      <c r="H143" s="27">
        <v>17395256.550000001</v>
      </c>
      <c r="J143" s="27">
        <v>-43874788.899999999</v>
      </c>
      <c r="K143" s="25">
        <f t="shared" si="4"/>
        <v>-15120857.289999999</v>
      </c>
      <c r="L143" s="32">
        <f t="shared" si="5"/>
        <v>-15120.85729</v>
      </c>
    </row>
    <row r="144" spans="1:12" ht="15.95" customHeight="1" x14ac:dyDescent="0.2">
      <c r="A144" s="179">
        <v>31</v>
      </c>
      <c r="B144" s="369" t="s">
        <v>1123</v>
      </c>
      <c r="C144" s="370"/>
      <c r="D144" s="370"/>
      <c r="E144" s="27">
        <v>-33026264.940000001</v>
      </c>
      <c r="F144" s="27">
        <v>0</v>
      </c>
      <c r="H144" s="27">
        <v>17391556.550000001</v>
      </c>
      <c r="J144" s="27">
        <v>-50417821.490000002</v>
      </c>
      <c r="K144" s="25">
        <f t="shared" si="4"/>
        <v>-17391556.550000001</v>
      </c>
      <c r="L144" s="32">
        <f t="shared" si="5"/>
        <v>-17391.556550000001</v>
      </c>
    </row>
    <row r="145" spans="1:12" ht="15.95" customHeight="1" x14ac:dyDescent="0.2">
      <c r="A145" s="179">
        <v>311</v>
      </c>
      <c r="B145" s="369" t="s">
        <v>1124</v>
      </c>
      <c r="C145" s="370"/>
      <c r="D145" s="370"/>
      <c r="E145" s="27">
        <v>-33026264.940000001</v>
      </c>
      <c r="F145" s="27">
        <v>0</v>
      </c>
      <c r="H145" s="27">
        <v>17391556.550000001</v>
      </c>
      <c r="J145" s="27">
        <v>-50417821.490000002</v>
      </c>
      <c r="K145" s="25">
        <f t="shared" si="4"/>
        <v>-17391556.550000001</v>
      </c>
      <c r="L145" s="32">
        <f t="shared" si="5"/>
        <v>-17391.556550000001</v>
      </c>
    </row>
    <row r="146" spans="1:12" ht="15.95" customHeight="1" x14ac:dyDescent="0.2">
      <c r="A146" s="179">
        <v>31101</v>
      </c>
      <c r="B146" s="369" t="s">
        <v>1125</v>
      </c>
      <c r="C146" s="370"/>
      <c r="D146" s="370"/>
      <c r="E146" s="27">
        <v>-29746173.780000001</v>
      </c>
      <c r="F146" s="27">
        <v>0</v>
      </c>
      <c r="H146" s="27">
        <v>15428344.619999999</v>
      </c>
      <c r="J146" s="27">
        <v>-45174518.399999999</v>
      </c>
      <c r="K146" s="25">
        <f t="shared" si="4"/>
        <v>-15428344.619999997</v>
      </c>
      <c r="L146" s="32">
        <f t="shared" si="5"/>
        <v>-15428.344619999998</v>
      </c>
    </row>
    <row r="147" spans="1:12" ht="15.95" customHeight="1" x14ac:dyDescent="0.2">
      <c r="A147" s="179">
        <v>3110101</v>
      </c>
      <c r="B147" s="369" t="s">
        <v>1126</v>
      </c>
      <c r="C147" s="370"/>
      <c r="D147" s="370"/>
      <c r="E147" s="27">
        <v>-29746173.780000001</v>
      </c>
      <c r="F147" s="27">
        <v>0</v>
      </c>
      <c r="H147" s="27">
        <v>15428344.619999999</v>
      </c>
      <c r="J147" s="27">
        <v>-45174518.399999999</v>
      </c>
      <c r="K147" s="25">
        <f t="shared" si="4"/>
        <v>-15428344.619999997</v>
      </c>
      <c r="L147" s="32">
        <f t="shared" si="5"/>
        <v>-15428.344619999998</v>
      </c>
    </row>
    <row r="148" spans="1:12" ht="15.95" customHeight="1" x14ac:dyDescent="0.2">
      <c r="A148" s="179">
        <v>31103</v>
      </c>
      <c r="B148" s="369" t="s">
        <v>1137</v>
      </c>
      <c r="C148" s="370"/>
      <c r="D148" s="370"/>
      <c r="E148" s="27">
        <v>-3280091.16</v>
      </c>
      <c r="F148" s="27">
        <v>0</v>
      </c>
      <c r="H148" s="27">
        <v>1963211.93</v>
      </c>
      <c r="J148" s="27">
        <v>-5243303.09</v>
      </c>
      <c r="K148" s="25">
        <f t="shared" si="4"/>
        <v>-1963211.9299999997</v>
      </c>
      <c r="L148" s="32">
        <f t="shared" si="5"/>
        <v>-1963.2119299999997</v>
      </c>
    </row>
    <row r="149" spans="1:12" ht="15.95" customHeight="1" x14ac:dyDescent="0.2">
      <c r="A149" s="179">
        <v>3110301</v>
      </c>
      <c r="B149" s="369" t="s">
        <v>1138</v>
      </c>
      <c r="C149" s="370"/>
      <c r="D149" s="370"/>
      <c r="E149" s="27">
        <v>-3280091.16</v>
      </c>
      <c r="F149" s="27">
        <v>0</v>
      </c>
      <c r="H149" s="27">
        <v>1963211.93</v>
      </c>
      <c r="J149" s="27">
        <v>-5243303.09</v>
      </c>
      <c r="K149" s="25">
        <f t="shared" si="4"/>
        <v>-1963211.9299999997</v>
      </c>
      <c r="L149" s="32">
        <f t="shared" si="5"/>
        <v>-1963.2119299999997</v>
      </c>
    </row>
    <row r="150" spans="1:12" ht="15.95" customHeight="1" x14ac:dyDescent="0.2">
      <c r="A150" s="179">
        <v>32</v>
      </c>
      <c r="B150" s="369" t="s">
        <v>1141</v>
      </c>
      <c r="C150" s="370"/>
      <c r="D150" s="370"/>
      <c r="E150" s="27">
        <v>4272333.33</v>
      </c>
      <c r="F150" s="27">
        <v>2274399.2599999998</v>
      </c>
      <c r="H150" s="27">
        <v>3700</v>
      </c>
      <c r="J150" s="27">
        <v>6543032.5899999999</v>
      </c>
      <c r="K150" s="25">
        <f t="shared" si="4"/>
        <v>2270699.2599999998</v>
      </c>
      <c r="L150" s="32">
        <f t="shared" si="5"/>
        <v>2270.6992599999999</v>
      </c>
    </row>
    <row r="151" spans="1:12" ht="15.95" customHeight="1" x14ac:dyDescent="0.2">
      <c r="A151" s="179">
        <v>321</v>
      </c>
      <c r="B151" s="369" t="s">
        <v>1124</v>
      </c>
      <c r="C151" s="370"/>
      <c r="D151" s="370"/>
      <c r="E151" s="27">
        <v>4272333.33</v>
      </c>
      <c r="F151" s="27">
        <v>2274399.2599999998</v>
      </c>
      <c r="H151" s="27">
        <v>3700</v>
      </c>
      <c r="J151" s="27">
        <v>6543032.5899999999</v>
      </c>
      <c r="K151" s="25">
        <f t="shared" si="4"/>
        <v>2270699.2599999998</v>
      </c>
      <c r="L151" s="32">
        <f t="shared" si="5"/>
        <v>2270.6992599999999</v>
      </c>
    </row>
    <row r="152" spans="1:12" ht="15.95" customHeight="1" x14ac:dyDescent="0.2">
      <c r="A152" s="179">
        <v>32101</v>
      </c>
      <c r="B152" s="369" t="s">
        <v>1142</v>
      </c>
      <c r="C152" s="370"/>
      <c r="D152" s="370"/>
      <c r="E152" s="27">
        <v>4272333.33</v>
      </c>
      <c r="F152" s="27">
        <v>2274399.2599999998</v>
      </c>
      <c r="H152" s="27">
        <v>3700</v>
      </c>
      <c r="J152" s="27">
        <v>6543032.5899999999</v>
      </c>
      <c r="K152" s="25">
        <f t="shared" si="4"/>
        <v>2270699.2599999998</v>
      </c>
      <c r="L152" s="32">
        <f t="shared" si="5"/>
        <v>2270.6992599999999</v>
      </c>
    </row>
    <row r="153" spans="1:12" ht="15.95" customHeight="1" x14ac:dyDescent="0.2">
      <c r="A153" s="179">
        <v>3210101</v>
      </c>
      <c r="B153" s="369" t="s">
        <v>1143</v>
      </c>
      <c r="C153" s="370"/>
      <c r="D153" s="370"/>
      <c r="E153" s="27">
        <v>3291651.45</v>
      </c>
      <c r="F153" s="27">
        <v>1809462.66</v>
      </c>
      <c r="H153" s="27">
        <v>3700</v>
      </c>
      <c r="J153" s="27">
        <v>5097414.1100000003</v>
      </c>
      <c r="K153" s="25">
        <f t="shared" si="4"/>
        <v>1805762.6600000001</v>
      </c>
      <c r="L153" s="32">
        <f t="shared" si="5"/>
        <v>1805.7626600000001</v>
      </c>
    </row>
    <row r="154" spans="1:12" ht="15.95" customHeight="1" x14ac:dyDescent="0.2">
      <c r="A154" s="179">
        <v>3210102</v>
      </c>
      <c r="B154" s="369" t="s">
        <v>1150</v>
      </c>
      <c r="C154" s="370"/>
      <c r="D154" s="370"/>
      <c r="E154" s="27">
        <v>980681.88</v>
      </c>
      <c r="F154" s="27">
        <v>464936.6</v>
      </c>
      <c r="H154" s="27">
        <v>0</v>
      </c>
      <c r="J154" s="27">
        <v>1445618.48</v>
      </c>
      <c r="K154" s="25">
        <f t="shared" si="4"/>
        <v>464936.6</v>
      </c>
      <c r="L154" s="32">
        <f t="shared" si="5"/>
        <v>464.9366</v>
      </c>
    </row>
    <row r="155" spans="1:12" ht="15.95" customHeight="1" x14ac:dyDescent="0.2">
      <c r="A155" s="179">
        <v>4</v>
      </c>
      <c r="B155" s="369" t="s">
        <v>1160</v>
      </c>
      <c r="C155" s="370"/>
      <c r="D155" s="370"/>
      <c r="E155" s="27">
        <v>19901457.32</v>
      </c>
      <c r="F155" s="27">
        <v>10573026.93</v>
      </c>
      <c r="H155" s="27">
        <v>767775.83</v>
      </c>
      <c r="J155" s="27">
        <v>29706708.420000002</v>
      </c>
      <c r="K155" s="25">
        <f t="shared" si="4"/>
        <v>9805251.1000000015</v>
      </c>
      <c r="L155" s="32">
        <f t="shared" si="5"/>
        <v>9805.2511000000013</v>
      </c>
    </row>
    <row r="156" spans="1:12" ht="15.95" customHeight="1" x14ac:dyDescent="0.2">
      <c r="A156" s="179">
        <v>41</v>
      </c>
      <c r="B156" s="369" t="s">
        <v>1161</v>
      </c>
      <c r="C156" s="370"/>
      <c r="D156" s="370"/>
      <c r="E156" s="27">
        <v>19901457.32</v>
      </c>
      <c r="F156" s="27">
        <v>10573026.93</v>
      </c>
      <c r="H156" s="27">
        <v>767775.83</v>
      </c>
      <c r="J156" s="27">
        <v>29706708.420000002</v>
      </c>
      <c r="K156" s="25">
        <f t="shared" si="4"/>
        <v>9805251.1000000015</v>
      </c>
      <c r="L156" s="32">
        <f t="shared" si="5"/>
        <v>9805.2511000000013</v>
      </c>
    </row>
    <row r="157" spans="1:12" ht="15.95" customHeight="1" x14ac:dyDescent="0.2">
      <c r="A157" s="179">
        <v>411</v>
      </c>
      <c r="B157" s="369" t="s">
        <v>1161</v>
      </c>
      <c r="C157" s="370"/>
      <c r="D157" s="370"/>
      <c r="E157" s="27">
        <v>19901457.32</v>
      </c>
      <c r="F157" s="27">
        <v>10573026.93</v>
      </c>
      <c r="H157" s="27">
        <v>767775.83</v>
      </c>
      <c r="J157" s="27">
        <v>29706708.420000002</v>
      </c>
      <c r="K157" s="25">
        <f t="shared" si="4"/>
        <v>9805251.1000000015</v>
      </c>
      <c r="L157" s="32">
        <f t="shared" si="5"/>
        <v>9805.2511000000013</v>
      </c>
    </row>
    <row r="158" spans="1:12" ht="15.95" customHeight="1" x14ac:dyDescent="0.2">
      <c r="A158" s="179">
        <v>41101</v>
      </c>
      <c r="B158" s="369" t="s">
        <v>1161</v>
      </c>
      <c r="C158" s="370"/>
      <c r="D158" s="370"/>
      <c r="E158" s="27">
        <v>19901457.32</v>
      </c>
      <c r="F158" s="27">
        <v>10573026.93</v>
      </c>
      <c r="H158" s="27">
        <v>767775.83</v>
      </c>
      <c r="J158" s="27">
        <v>29706708.420000002</v>
      </c>
      <c r="K158" s="25">
        <f t="shared" si="4"/>
        <v>9805251.1000000015</v>
      </c>
      <c r="L158" s="32">
        <f t="shared" si="5"/>
        <v>9805.2511000000013</v>
      </c>
    </row>
    <row r="159" spans="1:12" ht="15.95" customHeight="1" x14ac:dyDescent="0.2">
      <c r="A159" s="179">
        <v>4110101</v>
      </c>
      <c r="B159" s="369" t="s">
        <v>1162</v>
      </c>
      <c r="C159" s="370"/>
      <c r="D159" s="370"/>
      <c r="E159" s="27">
        <v>5274685.83</v>
      </c>
      <c r="F159" s="27">
        <v>3256399.94</v>
      </c>
      <c r="H159" s="27">
        <v>212229.42</v>
      </c>
      <c r="J159" s="27">
        <v>8318856.3499999996</v>
      </c>
      <c r="K159" s="25">
        <f t="shared" si="4"/>
        <v>3044170.5199999996</v>
      </c>
      <c r="L159" s="32">
        <f t="shared" si="5"/>
        <v>3044.1705199999997</v>
      </c>
    </row>
    <row r="160" spans="1:12" ht="15.95" customHeight="1" x14ac:dyDescent="0.2">
      <c r="A160" s="179">
        <v>4110103</v>
      </c>
      <c r="B160" s="369" t="s">
        <v>1201</v>
      </c>
      <c r="C160" s="370"/>
      <c r="D160" s="370"/>
      <c r="E160" s="27">
        <v>5486164.9500000002</v>
      </c>
      <c r="F160" s="27">
        <v>2755652.33</v>
      </c>
      <c r="H160" s="27">
        <v>397905.59</v>
      </c>
      <c r="J160" s="27">
        <v>7843911.6900000004</v>
      </c>
      <c r="K160" s="25">
        <f t="shared" si="4"/>
        <v>2357746.7400000002</v>
      </c>
      <c r="L160" s="32">
        <f t="shared" si="5"/>
        <v>2357.74674</v>
      </c>
    </row>
    <row r="161" spans="1:12" ht="15.95" customHeight="1" x14ac:dyDescent="0.2">
      <c r="A161" s="179">
        <v>4110104</v>
      </c>
      <c r="B161" s="369" t="s">
        <v>1222</v>
      </c>
      <c r="C161" s="370"/>
      <c r="D161" s="370"/>
      <c r="E161" s="27">
        <v>3181.6</v>
      </c>
      <c r="F161" s="27">
        <v>899.27</v>
      </c>
      <c r="H161" s="27">
        <v>0</v>
      </c>
      <c r="J161" s="27">
        <v>4080.87</v>
      </c>
      <c r="K161" s="25">
        <f t="shared" si="4"/>
        <v>899.27</v>
      </c>
      <c r="L161" s="32">
        <f t="shared" si="5"/>
        <v>0.89927000000000001</v>
      </c>
    </row>
    <row r="162" spans="1:12" ht="15.95" customHeight="1" x14ac:dyDescent="0.2">
      <c r="A162" s="179">
        <v>4110105</v>
      </c>
      <c r="B162" s="369" t="s">
        <v>1237</v>
      </c>
      <c r="C162" s="370"/>
      <c r="D162" s="370"/>
      <c r="E162" s="27">
        <v>9137424.9399999995</v>
      </c>
      <c r="F162" s="27">
        <v>4560075.3899999997</v>
      </c>
      <c r="H162" s="27">
        <v>157640.82</v>
      </c>
      <c r="J162" s="27">
        <v>13539859.51</v>
      </c>
      <c r="K162" s="25">
        <f t="shared" si="4"/>
        <v>4402434.57</v>
      </c>
      <c r="L162" s="32">
        <f t="shared" si="5"/>
        <v>4402.4345700000003</v>
      </c>
    </row>
    <row r="163" spans="1:12" ht="27.95" customHeight="1" x14ac:dyDescent="0.2">
      <c r="A163" s="179">
        <v>5</v>
      </c>
      <c r="B163" s="369" t="s">
        <v>1250</v>
      </c>
      <c r="C163" s="370"/>
      <c r="D163" s="370"/>
      <c r="E163" s="27">
        <v>13502430.41</v>
      </c>
      <c r="F163" s="27">
        <v>8422551.3800000008</v>
      </c>
      <c r="H163" s="27">
        <v>942647.94</v>
      </c>
      <c r="J163" s="27">
        <v>20982333.850000001</v>
      </c>
      <c r="K163" s="25">
        <f t="shared" si="4"/>
        <v>7479903.4400000013</v>
      </c>
      <c r="L163" s="32">
        <f t="shared" si="5"/>
        <v>7479.903440000001</v>
      </c>
    </row>
    <row r="164" spans="1:12" ht="15.95" customHeight="1" x14ac:dyDescent="0.2">
      <c r="A164" s="179">
        <v>51</v>
      </c>
      <c r="B164" s="369" t="s">
        <v>1250</v>
      </c>
      <c r="C164" s="370"/>
      <c r="D164" s="370"/>
      <c r="E164" s="27">
        <v>12732814.630000001</v>
      </c>
      <c r="F164" s="27">
        <v>7309149.9699999997</v>
      </c>
      <c r="H164" s="27">
        <v>310112.03000000003</v>
      </c>
      <c r="J164" s="27">
        <v>19731852.57</v>
      </c>
      <c r="K164" s="25">
        <f t="shared" si="4"/>
        <v>6999037.9399999995</v>
      </c>
      <c r="L164" s="32">
        <f t="shared" si="5"/>
        <v>6999.0379399999993</v>
      </c>
    </row>
    <row r="165" spans="1:12" ht="15.95" customHeight="1" x14ac:dyDescent="0.2">
      <c r="A165" s="179">
        <v>511</v>
      </c>
      <c r="B165" s="369" t="s">
        <v>1251</v>
      </c>
      <c r="C165" s="370"/>
      <c r="D165" s="370"/>
      <c r="E165" s="27">
        <v>12732814.630000001</v>
      </c>
      <c r="F165" s="27">
        <v>7309149.9699999997</v>
      </c>
      <c r="H165" s="27">
        <v>310112.03000000003</v>
      </c>
      <c r="J165" s="27">
        <v>19731852.57</v>
      </c>
      <c r="K165" s="25">
        <f t="shared" si="4"/>
        <v>6999037.9399999995</v>
      </c>
      <c r="L165" s="32">
        <f t="shared" si="5"/>
        <v>6999.0379399999993</v>
      </c>
    </row>
    <row r="166" spans="1:12" ht="15.95" customHeight="1" x14ac:dyDescent="0.2">
      <c r="A166" s="179">
        <v>51101</v>
      </c>
      <c r="B166" s="369" t="s">
        <v>1251</v>
      </c>
      <c r="C166" s="370"/>
      <c r="D166" s="370"/>
      <c r="E166" s="27">
        <v>12732814.630000001</v>
      </c>
      <c r="F166" s="27">
        <v>7309149.9699999997</v>
      </c>
      <c r="H166" s="27">
        <v>310112.03000000003</v>
      </c>
      <c r="J166" s="27">
        <v>19731852.57</v>
      </c>
      <c r="K166" s="25">
        <f t="shared" si="4"/>
        <v>6999037.9399999995</v>
      </c>
      <c r="L166" s="32">
        <f t="shared" si="5"/>
        <v>6999.0379399999993</v>
      </c>
    </row>
    <row r="167" spans="1:12" ht="15.95" customHeight="1" x14ac:dyDescent="0.2">
      <c r="A167" s="179">
        <v>5110101</v>
      </c>
      <c r="B167" s="369" t="s">
        <v>1252</v>
      </c>
      <c r="C167" s="370"/>
      <c r="D167" s="370"/>
      <c r="E167" s="27">
        <v>7594309.7999999998</v>
      </c>
      <c r="F167" s="27">
        <v>4292111.49</v>
      </c>
      <c r="H167" s="27">
        <v>220622.99</v>
      </c>
      <c r="J167" s="27">
        <v>11665798.300000001</v>
      </c>
      <c r="K167" s="25">
        <f t="shared" si="4"/>
        <v>4071488.5000000009</v>
      </c>
      <c r="L167" s="32">
        <f t="shared" si="5"/>
        <v>4071.4885000000008</v>
      </c>
    </row>
    <row r="168" spans="1:12" ht="15.95" customHeight="1" x14ac:dyDescent="0.2">
      <c r="A168" s="179">
        <v>5110102</v>
      </c>
      <c r="B168" s="369" t="s">
        <v>1286</v>
      </c>
      <c r="C168" s="370"/>
      <c r="D168" s="370"/>
      <c r="E168" s="27">
        <v>224337.36</v>
      </c>
      <c r="F168" s="27">
        <v>95874.92</v>
      </c>
      <c r="H168" s="27">
        <v>0</v>
      </c>
      <c r="J168" s="27">
        <v>320212.28000000003</v>
      </c>
      <c r="K168" s="25">
        <f t="shared" si="4"/>
        <v>95874.920000000042</v>
      </c>
      <c r="L168" s="32">
        <f t="shared" si="5"/>
        <v>95.874920000000046</v>
      </c>
    </row>
    <row r="169" spans="1:12" ht="15.95" customHeight="1" x14ac:dyDescent="0.2">
      <c r="A169" s="179">
        <v>5110103</v>
      </c>
      <c r="B169" s="369" t="s">
        <v>1295</v>
      </c>
      <c r="C169" s="370"/>
      <c r="D169" s="370"/>
      <c r="E169" s="27">
        <v>2215098.5</v>
      </c>
      <c r="F169" s="27">
        <v>1270017.24</v>
      </c>
      <c r="H169" s="27">
        <v>0</v>
      </c>
      <c r="J169" s="27">
        <v>3485115.74</v>
      </c>
      <c r="K169" s="25">
        <f t="shared" si="4"/>
        <v>1270017.2400000002</v>
      </c>
      <c r="L169" s="32">
        <f t="shared" si="5"/>
        <v>1270.0172400000001</v>
      </c>
    </row>
    <row r="170" spans="1:12" ht="15.95" customHeight="1" x14ac:dyDescent="0.2">
      <c r="A170" s="179">
        <v>5110104</v>
      </c>
      <c r="B170" s="369" t="s">
        <v>1325</v>
      </c>
      <c r="C170" s="370"/>
      <c r="D170" s="370"/>
      <c r="E170" s="27">
        <v>93776.97</v>
      </c>
      <c r="F170" s="27">
        <v>33004.36</v>
      </c>
      <c r="H170" s="27">
        <v>0</v>
      </c>
      <c r="J170" s="27">
        <v>126781.33</v>
      </c>
      <c r="K170" s="25">
        <f t="shared" si="4"/>
        <v>33004.36</v>
      </c>
      <c r="L170" s="32">
        <f t="shared" si="5"/>
        <v>33.004359999999998</v>
      </c>
    </row>
    <row r="171" spans="1:12" ht="15.95" customHeight="1" x14ac:dyDescent="0.2">
      <c r="A171" s="179">
        <v>5110105</v>
      </c>
      <c r="B171" s="369" t="s">
        <v>1343</v>
      </c>
      <c r="C171" s="370"/>
      <c r="D171" s="370"/>
      <c r="E171" s="27">
        <v>2605292</v>
      </c>
      <c r="F171" s="27">
        <v>1618141.96</v>
      </c>
      <c r="H171" s="27">
        <v>89489.04</v>
      </c>
      <c r="J171" s="27">
        <v>4133944.92</v>
      </c>
      <c r="K171" s="25">
        <f t="shared" si="4"/>
        <v>1528652.92</v>
      </c>
      <c r="L171" s="32">
        <f t="shared" si="5"/>
        <v>1528.65292</v>
      </c>
    </row>
    <row r="172" spans="1:12" ht="15.95" customHeight="1" x14ac:dyDescent="0.2">
      <c r="A172" s="179">
        <v>59</v>
      </c>
      <c r="B172" s="369" t="s">
        <v>1378</v>
      </c>
      <c r="C172" s="370"/>
      <c r="D172" s="370"/>
      <c r="E172" s="27">
        <v>769615.78</v>
      </c>
      <c r="F172" s="27">
        <v>1113401.4099999999</v>
      </c>
      <c r="H172" s="27">
        <v>632535.91</v>
      </c>
      <c r="J172" s="27">
        <v>1250481.28</v>
      </c>
      <c r="K172" s="25">
        <f t="shared" si="4"/>
        <v>480865.5</v>
      </c>
      <c r="L172" s="32">
        <f t="shared" si="5"/>
        <v>480.8655</v>
      </c>
    </row>
    <row r="173" spans="1:12" ht="15.95" customHeight="1" x14ac:dyDescent="0.2">
      <c r="A173" s="179">
        <v>591</v>
      </c>
      <c r="B173" s="369" t="s">
        <v>1379</v>
      </c>
      <c r="C173" s="370"/>
      <c r="D173" s="370"/>
      <c r="E173" s="27">
        <v>769615.78</v>
      </c>
      <c r="F173" s="27">
        <v>1113401.4099999999</v>
      </c>
      <c r="H173" s="27">
        <v>632535.91</v>
      </c>
      <c r="J173" s="27">
        <v>1250481.28</v>
      </c>
      <c r="K173" s="25">
        <f t="shared" si="4"/>
        <v>480865.5</v>
      </c>
      <c r="L173" s="32">
        <f t="shared" si="5"/>
        <v>480.8655</v>
      </c>
    </row>
    <row r="174" spans="1:12" ht="15.95" customHeight="1" x14ac:dyDescent="0.2">
      <c r="A174" s="179">
        <v>59101</v>
      </c>
      <c r="B174" s="369" t="s">
        <v>1380</v>
      </c>
      <c r="C174" s="370"/>
      <c r="D174" s="370"/>
      <c r="E174" s="27">
        <v>1177140.17</v>
      </c>
      <c r="F174" s="27">
        <v>1112444.1200000001</v>
      </c>
      <c r="H174" s="27">
        <v>127863.37</v>
      </c>
      <c r="J174" s="27">
        <v>2161720.92</v>
      </c>
      <c r="K174" s="25">
        <f t="shared" si="4"/>
        <v>984580.75</v>
      </c>
      <c r="L174" s="32">
        <f t="shared" si="5"/>
        <v>984.58074999999997</v>
      </c>
    </row>
    <row r="175" spans="1:12" ht="15.95" customHeight="1" x14ac:dyDescent="0.2">
      <c r="A175" s="179">
        <v>5910101</v>
      </c>
      <c r="B175" s="369" t="s">
        <v>1380</v>
      </c>
      <c r="C175" s="370"/>
      <c r="D175" s="370"/>
      <c r="E175" s="27">
        <v>1177140.17</v>
      </c>
      <c r="F175" s="27">
        <v>1112444.1200000001</v>
      </c>
      <c r="H175" s="27">
        <v>127863.37</v>
      </c>
      <c r="J175" s="27">
        <v>2161720.92</v>
      </c>
      <c r="K175" s="25">
        <f t="shared" si="4"/>
        <v>984580.75</v>
      </c>
      <c r="L175" s="32">
        <f t="shared" si="5"/>
        <v>984.58074999999997</v>
      </c>
    </row>
    <row r="176" spans="1:12" ht="15.95" customHeight="1" x14ac:dyDescent="0.2">
      <c r="A176" s="179">
        <v>59102</v>
      </c>
      <c r="B176" s="369" t="s">
        <v>1391</v>
      </c>
      <c r="C176" s="370"/>
      <c r="D176" s="370"/>
      <c r="E176" s="27">
        <v>-407524.39</v>
      </c>
      <c r="F176" s="27">
        <v>957.29</v>
      </c>
      <c r="H176" s="27">
        <v>504672.54</v>
      </c>
      <c r="J176" s="27">
        <v>-911239.64</v>
      </c>
      <c r="K176" s="25">
        <f t="shared" si="4"/>
        <v>-503715.25</v>
      </c>
      <c r="L176" s="32">
        <f t="shared" si="5"/>
        <v>-503.71525000000003</v>
      </c>
    </row>
    <row r="177" spans="1:12" ht="15.95" customHeight="1" x14ac:dyDescent="0.2">
      <c r="A177" s="179">
        <v>5910201</v>
      </c>
      <c r="B177" s="369" t="s">
        <v>1391</v>
      </c>
      <c r="C177" s="370"/>
      <c r="D177" s="370"/>
      <c r="E177" s="27">
        <v>-407524.39</v>
      </c>
      <c r="F177" s="27">
        <v>957.29</v>
      </c>
      <c r="H177" s="27">
        <v>504672.54</v>
      </c>
      <c r="J177" s="27">
        <v>-911239.64</v>
      </c>
      <c r="K177" s="25">
        <f t="shared" si="4"/>
        <v>-503715.25</v>
      </c>
      <c r="L177" s="32">
        <f t="shared" si="5"/>
        <v>-503.71525000000003</v>
      </c>
    </row>
    <row r="178" spans="1:12" ht="15.95" customHeight="1" x14ac:dyDescent="0.2">
      <c r="A178" s="179">
        <v>6</v>
      </c>
      <c r="B178" s="369" t="s">
        <v>1400</v>
      </c>
      <c r="C178" s="370"/>
      <c r="D178" s="370"/>
      <c r="E178" s="27">
        <v>1341557.3500000001</v>
      </c>
      <c r="F178" s="27">
        <v>1706838.7</v>
      </c>
      <c r="H178" s="27">
        <v>2074586.49</v>
      </c>
      <c r="J178" s="27">
        <v>973809.56</v>
      </c>
      <c r="K178" s="25">
        <f t="shared" si="4"/>
        <v>-367747.79000000004</v>
      </c>
      <c r="L178" s="32">
        <f t="shared" si="5"/>
        <v>-367.74779000000001</v>
      </c>
    </row>
    <row r="179" spans="1:12" ht="15.95" customHeight="1" x14ac:dyDescent="0.2">
      <c r="A179" s="179">
        <v>62</v>
      </c>
      <c r="B179" s="369" t="s">
        <v>1401</v>
      </c>
      <c r="C179" s="370"/>
      <c r="D179" s="370"/>
      <c r="E179" s="27">
        <v>1341557.3500000001</v>
      </c>
      <c r="F179" s="27">
        <v>1706838.7</v>
      </c>
      <c r="H179" s="27">
        <v>2074586.49</v>
      </c>
      <c r="J179" s="27">
        <v>973809.56</v>
      </c>
      <c r="K179" s="25">
        <f t="shared" si="4"/>
        <v>-367747.79000000004</v>
      </c>
      <c r="L179" s="32">
        <f t="shared" si="5"/>
        <v>-367.74779000000001</v>
      </c>
    </row>
    <row r="180" spans="1:12" ht="15.95" customHeight="1" x14ac:dyDescent="0.2">
      <c r="A180" s="179">
        <v>621</v>
      </c>
      <c r="B180" s="369" t="s">
        <v>1402</v>
      </c>
      <c r="C180" s="370"/>
      <c r="D180" s="370"/>
      <c r="E180" s="27">
        <v>-231991.41</v>
      </c>
      <c r="F180" s="27">
        <v>31.02</v>
      </c>
      <c r="H180" s="27">
        <v>1837103.78</v>
      </c>
      <c r="J180" s="27">
        <v>-2069064.17</v>
      </c>
      <c r="K180" s="25">
        <f t="shared" si="4"/>
        <v>-1837072.76</v>
      </c>
      <c r="L180" s="32">
        <f t="shared" si="5"/>
        <v>-1837.07276</v>
      </c>
    </row>
    <row r="181" spans="1:12" ht="15.95" customHeight="1" x14ac:dyDescent="0.2">
      <c r="A181" s="179">
        <v>62101</v>
      </c>
      <c r="B181" s="369" t="s">
        <v>1403</v>
      </c>
      <c r="C181" s="370"/>
      <c r="D181" s="370"/>
      <c r="E181" s="27">
        <v>-231991.41</v>
      </c>
      <c r="F181" s="27">
        <v>31.02</v>
      </c>
      <c r="H181" s="27">
        <v>1837103.78</v>
      </c>
      <c r="J181" s="27">
        <v>-2069064.17</v>
      </c>
      <c r="K181" s="25">
        <f t="shared" si="4"/>
        <v>-1837072.76</v>
      </c>
      <c r="L181" s="32">
        <f t="shared" si="5"/>
        <v>-1837.07276</v>
      </c>
    </row>
    <row r="182" spans="1:12" ht="15.95" customHeight="1" x14ac:dyDescent="0.2">
      <c r="A182" s="179">
        <v>6210101</v>
      </c>
      <c r="B182" s="369" t="s">
        <v>1404</v>
      </c>
      <c r="C182" s="370"/>
      <c r="D182" s="370"/>
      <c r="E182" s="27">
        <v>-231991.41</v>
      </c>
      <c r="F182" s="27">
        <v>31.02</v>
      </c>
      <c r="H182" s="27">
        <v>1837103.78</v>
      </c>
      <c r="J182" s="27">
        <v>-2069064.17</v>
      </c>
      <c r="K182" s="25">
        <f t="shared" si="4"/>
        <v>-1837072.76</v>
      </c>
      <c r="L182" s="32">
        <f t="shared" si="5"/>
        <v>-1837.07276</v>
      </c>
    </row>
    <row r="183" spans="1:12" ht="15.95" customHeight="1" x14ac:dyDescent="0.2">
      <c r="A183" s="179">
        <v>624</v>
      </c>
      <c r="B183" s="369" t="s">
        <v>1410</v>
      </c>
      <c r="C183" s="370"/>
      <c r="D183" s="370"/>
      <c r="E183" s="27">
        <v>1435069.13</v>
      </c>
      <c r="F183" s="27">
        <v>1220463.1299999999</v>
      </c>
      <c r="H183" s="27">
        <v>232590.05</v>
      </c>
      <c r="J183" s="27">
        <v>2422942.21</v>
      </c>
      <c r="K183" s="25">
        <f t="shared" si="4"/>
        <v>987873.08000000007</v>
      </c>
      <c r="L183" s="32">
        <f t="shared" si="5"/>
        <v>987.87308000000007</v>
      </c>
    </row>
    <row r="184" spans="1:12" ht="15.95" customHeight="1" x14ac:dyDescent="0.2">
      <c r="A184" s="179">
        <v>62401</v>
      </c>
      <c r="B184" s="369" t="s">
        <v>1410</v>
      </c>
      <c r="C184" s="370"/>
      <c r="D184" s="370"/>
      <c r="E184" s="27">
        <v>1435069.13</v>
      </c>
      <c r="F184" s="27">
        <v>1220463.1299999999</v>
      </c>
      <c r="H184" s="27">
        <v>232590.05</v>
      </c>
      <c r="J184" s="27">
        <v>2422942.21</v>
      </c>
      <c r="K184" s="25">
        <f t="shared" si="4"/>
        <v>987873.08000000007</v>
      </c>
      <c r="L184" s="32">
        <f t="shared" si="5"/>
        <v>987.87308000000007</v>
      </c>
    </row>
    <row r="185" spans="1:12" ht="15.95" customHeight="1" x14ac:dyDescent="0.2">
      <c r="A185" s="179">
        <v>6240101</v>
      </c>
      <c r="B185" s="369" t="s">
        <v>1410</v>
      </c>
      <c r="C185" s="370"/>
      <c r="D185" s="370"/>
      <c r="E185" s="27">
        <v>1435069.13</v>
      </c>
      <c r="F185" s="27">
        <v>1220463.1299999999</v>
      </c>
      <c r="H185" s="27">
        <v>232590.05</v>
      </c>
      <c r="J185" s="27">
        <v>2422942.21</v>
      </c>
      <c r="K185" s="25">
        <f t="shared" si="4"/>
        <v>987873.08000000007</v>
      </c>
      <c r="L185" s="32">
        <f t="shared" si="5"/>
        <v>987.87308000000007</v>
      </c>
    </row>
    <row r="186" spans="1:12" ht="15.95" customHeight="1" x14ac:dyDescent="0.2">
      <c r="A186" s="179">
        <v>625</v>
      </c>
      <c r="B186" s="369" t="s">
        <v>1413</v>
      </c>
      <c r="C186" s="370"/>
      <c r="D186" s="370"/>
      <c r="E186" s="27">
        <v>138479.63</v>
      </c>
      <c r="F186" s="27">
        <v>486344.55</v>
      </c>
      <c r="H186" s="27">
        <v>4892.66</v>
      </c>
      <c r="J186" s="27">
        <v>619931.52</v>
      </c>
      <c r="K186" s="25">
        <f t="shared" si="4"/>
        <v>481451.89</v>
      </c>
      <c r="L186" s="32">
        <f t="shared" si="5"/>
        <v>481.45188999999999</v>
      </c>
    </row>
    <row r="187" spans="1:12" ht="15.95" customHeight="1" x14ac:dyDescent="0.2">
      <c r="A187" s="179">
        <v>62501</v>
      </c>
      <c r="B187" s="369" t="s">
        <v>1413</v>
      </c>
      <c r="C187" s="370"/>
      <c r="D187" s="370"/>
      <c r="E187" s="27">
        <v>138479.63</v>
      </c>
      <c r="F187" s="27">
        <v>486344.55</v>
      </c>
      <c r="H187" s="27">
        <v>4892.66</v>
      </c>
      <c r="J187" s="27">
        <v>619931.52</v>
      </c>
      <c r="K187" s="25">
        <f t="shared" si="4"/>
        <v>481451.89</v>
      </c>
      <c r="L187" s="32">
        <f t="shared" si="5"/>
        <v>481.45188999999999</v>
      </c>
    </row>
    <row r="188" spans="1:12" ht="15.95" customHeight="1" x14ac:dyDescent="0.2">
      <c r="A188" s="179">
        <v>6250101</v>
      </c>
      <c r="B188" s="369" t="s">
        <v>1414</v>
      </c>
      <c r="C188" s="370"/>
      <c r="D188" s="370"/>
      <c r="E188" s="27">
        <v>138479.63</v>
      </c>
      <c r="F188" s="27">
        <v>486344.55</v>
      </c>
      <c r="H188" s="27">
        <v>4892.66</v>
      </c>
      <c r="J188" s="27">
        <v>619931.52</v>
      </c>
      <c r="K188" s="25">
        <f t="shared" si="4"/>
        <v>481451.89</v>
      </c>
      <c r="L188" s="32">
        <f t="shared" si="5"/>
        <v>481.45188999999999</v>
      </c>
    </row>
    <row r="189" spans="1:12" ht="15.95" customHeight="1" x14ac:dyDescent="0.2">
      <c r="A189" s="179">
        <v>9</v>
      </c>
      <c r="B189" s="369" t="s">
        <v>1419</v>
      </c>
      <c r="C189" s="370"/>
      <c r="D189" s="370"/>
      <c r="E189" s="27">
        <v>-5991513.4699999997</v>
      </c>
      <c r="F189" s="27">
        <v>0</v>
      </c>
      <c r="H189" s="27">
        <v>1796549.46</v>
      </c>
      <c r="J189" s="27">
        <v>-7788062.9299999997</v>
      </c>
      <c r="K189" s="25">
        <f t="shared" si="4"/>
        <v>-1796549.46</v>
      </c>
      <c r="L189" s="32">
        <f t="shared" si="5"/>
        <v>-1796.54946</v>
      </c>
    </row>
    <row r="190" spans="1:12" ht="15.95" customHeight="1" x14ac:dyDescent="0.2">
      <c r="A190" s="179">
        <v>91</v>
      </c>
      <c r="B190" s="369" t="s">
        <v>1420</v>
      </c>
      <c r="C190" s="370"/>
      <c r="D190" s="370"/>
      <c r="E190" s="27">
        <v>-5991513.4699999997</v>
      </c>
      <c r="F190" s="27">
        <v>0</v>
      </c>
      <c r="H190" s="27">
        <v>1796549.46</v>
      </c>
      <c r="J190" s="27">
        <v>-7788062.9299999997</v>
      </c>
      <c r="K190" s="25">
        <f t="shared" si="4"/>
        <v>-1796549.46</v>
      </c>
      <c r="L190" s="32">
        <f t="shared" si="5"/>
        <v>-1796.54946</v>
      </c>
    </row>
    <row r="191" spans="1:12" ht="15.95" customHeight="1" x14ac:dyDescent="0.2">
      <c r="A191" s="179">
        <v>911</v>
      </c>
      <c r="B191" s="369" t="s">
        <v>1421</v>
      </c>
      <c r="C191" s="370"/>
      <c r="D191" s="370"/>
      <c r="E191" s="27">
        <v>-5991513.4699999997</v>
      </c>
      <c r="F191" s="27">
        <v>0</v>
      </c>
      <c r="H191" s="27">
        <v>1796549.46</v>
      </c>
      <c r="J191" s="27">
        <v>-7788062.9299999997</v>
      </c>
      <c r="K191" s="25">
        <f t="shared" si="4"/>
        <v>-1796549.46</v>
      </c>
      <c r="L191" s="32">
        <f t="shared" si="5"/>
        <v>-1796.54946</v>
      </c>
    </row>
    <row r="192" spans="1:12" ht="15.95" customHeight="1" x14ac:dyDescent="0.2">
      <c r="A192" s="179">
        <v>91101</v>
      </c>
      <c r="B192" s="369" t="s">
        <v>1110</v>
      </c>
      <c r="C192" s="370"/>
      <c r="D192" s="370"/>
      <c r="E192" s="27">
        <v>-5991513.4699999997</v>
      </c>
      <c r="F192" s="27">
        <v>0</v>
      </c>
      <c r="H192" s="27">
        <v>1796549.46</v>
      </c>
      <c r="J192" s="27">
        <v>-7788062.9299999997</v>
      </c>
      <c r="K192" s="25">
        <f t="shared" si="4"/>
        <v>-1796549.46</v>
      </c>
      <c r="L192" s="32">
        <f t="shared" si="5"/>
        <v>-1796.54946</v>
      </c>
    </row>
    <row r="193" spans="1:12" ht="17.100000000000001" customHeight="1" x14ac:dyDescent="0.2">
      <c r="A193" s="181">
        <v>9110101</v>
      </c>
      <c r="B193" s="371" t="s">
        <v>1110</v>
      </c>
      <c r="C193" s="372"/>
      <c r="D193" s="372"/>
      <c r="E193" s="29">
        <v>-5991513.4699999997</v>
      </c>
      <c r="F193" s="29">
        <v>0</v>
      </c>
      <c r="G193" s="182"/>
      <c r="H193" s="29">
        <v>1796549.46</v>
      </c>
      <c r="I193" s="182"/>
      <c r="J193" s="29">
        <v>-7788062.9299999997</v>
      </c>
      <c r="K193" s="31">
        <f t="shared" si="4"/>
        <v>-1796549.46</v>
      </c>
      <c r="L193" s="202">
        <f t="shared" si="5"/>
        <v>-1796.54946</v>
      </c>
    </row>
    <row r="194" spans="1:12" ht="20.25" customHeight="1" x14ac:dyDescent="0.2">
      <c r="E194" s="27">
        <v>0</v>
      </c>
      <c r="F194" s="27">
        <v>90618288.849999994</v>
      </c>
      <c r="H194" s="27">
        <v>90618288.849999994</v>
      </c>
      <c r="J194" s="27">
        <v>0</v>
      </c>
      <c r="K194" s="25">
        <f t="shared" si="4"/>
        <v>0</v>
      </c>
      <c r="L194" s="32">
        <f t="shared" si="5"/>
        <v>0</v>
      </c>
    </row>
  </sheetData>
  <autoFilter ref="A1:K210"/>
  <mergeCells count="192"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57" customWidth="1"/>
    <col min="2" max="2" width="2.140625" style="157" customWidth="1"/>
    <col min="3" max="3" width="23.5703125" style="157" customWidth="1"/>
    <col min="4" max="4" width="26.85546875" style="157" customWidth="1"/>
    <col min="5" max="5" width="16.140625" style="157" customWidth="1"/>
    <col min="6" max="6" width="15.42578125" style="157" customWidth="1"/>
    <col min="7" max="7" width="2.140625" style="157" customWidth="1"/>
    <col min="8" max="8" width="14" style="157" customWidth="1"/>
    <col min="9" max="9" width="2.140625" style="157" customWidth="1"/>
    <col min="10" max="10" width="15.42578125" style="157" customWidth="1"/>
    <col min="11" max="11" width="14.42578125" style="25" bestFit="1" customWidth="1"/>
    <col min="12" max="12" width="14" style="157" bestFit="1" customWidth="1"/>
    <col min="13" max="256" width="9.140625" style="157"/>
    <col min="257" max="257" width="13.85546875" style="157" customWidth="1"/>
    <col min="258" max="258" width="2.140625" style="157" customWidth="1"/>
    <col min="259" max="259" width="23.5703125" style="157" customWidth="1"/>
    <col min="260" max="260" width="26.85546875" style="157" customWidth="1"/>
    <col min="261" max="261" width="16.140625" style="157" customWidth="1"/>
    <col min="262" max="262" width="15.42578125" style="157" customWidth="1"/>
    <col min="263" max="263" width="2.140625" style="157" customWidth="1"/>
    <col min="264" max="264" width="14" style="157" customWidth="1"/>
    <col min="265" max="265" width="2.140625" style="157" customWidth="1"/>
    <col min="266" max="266" width="15.42578125" style="157" customWidth="1"/>
    <col min="267" max="512" width="9.140625" style="157"/>
    <col min="513" max="513" width="13.85546875" style="157" customWidth="1"/>
    <col min="514" max="514" width="2.140625" style="157" customWidth="1"/>
    <col min="515" max="515" width="23.5703125" style="157" customWidth="1"/>
    <col min="516" max="516" width="26.85546875" style="157" customWidth="1"/>
    <col min="517" max="517" width="16.140625" style="157" customWidth="1"/>
    <col min="518" max="518" width="15.42578125" style="157" customWidth="1"/>
    <col min="519" max="519" width="2.140625" style="157" customWidth="1"/>
    <col min="520" max="520" width="14" style="157" customWidth="1"/>
    <col min="521" max="521" width="2.140625" style="157" customWidth="1"/>
    <col min="522" max="522" width="15.42578125" style="157" customWidth="1"/>
    <col min="523" max="768" width="9.140625" style="157"/>
    <col min="769" max="769" width="13.85546875" style="157" customWidth="1"/>
    <col min="770" max="770" width="2.140625" style="157" customWidth="1"/>
    <col min="771" max="771" width="23.5703125" style="157" customWidth="1"/>
    <col min="772" max="772" width="26.85546875" style="157" customWidth="1"/>
    <col min="773" max="773" width="16.140625" style="157" customWidth="1"/>
    <col min="774" max="774" width="15.42578125" style="157" customWidth="1"/>
    <col min="775" max="775" width="2.140625" style="157" customWidth="1"/>
    <col min="776" max="776" width="14" style="157" customWidth="1"/>
    <col min="777" max="777" width="2.140625" style="157" customWidth="1"/>
    <col min="778" max="778" width="15.42578125" style="157" customWidth="1"/>
    <col min="779" max="1024" width="9.140625" style="157"/>
    <col min="1025" max="1025" width="13.85546875" style="157" customWidth="1"/>
    <col min="1026" max="1026" width="2.140625" style="157" customWidth="1"/>
    <col min="1027" max="1027" width="23.5703125" style="157" customWidth="1"/>
    <col min="1028" max="1028" width="26.85546875" style="157" customWidth="1"/>
    <col min="1029" max="1029" width="16.140625" style="157" customWidth="1"/>
    <col min="1030" max="1030" width="15.42578125" style="157" customWidth="1"/>
    <col min="1031" max="1031" width="2.140625" style="157" customWidth="1"/>
    <col min="1032" max="1032" width="14" style="157" customWidth="1"/>
    <col min="1033" max="1033" width="2.140625" style="157" customWidth="1"/>
    <col min="1034" max="1034" width="15.42578125" style="157" customWidth="1"/>
    <col min="1035" max="1280" width="9.140625" style="157"/>
    <col min="1281" max="1281" width="13.85546875" style="157" customWidth="1"/>
    <col min="1282" max="1282" width="2.140625" style="157" customWidth="1"/>
    <col min="1283" max="1283" width="23.5703125" style="157" customWidth="1"/>
    <col min="1284" max="1284" width="26.85546875" style="157" customWidth="1"/>
    <col min="1285" max="1285" width="16.140625" style="157" customWidth="1"/>
    <col min="1286" max="1286" width="15.42578125" style="157" customWidth="1"/>
    <col min="1287" max="1287" width="2.140625" style="157" customWidth="1"/>
    <col min="1288" max="1288" width="14" style="157" customWidth="1"/>
    <col min="1289" max="1289" width="2.140625" style="157" customWidth="1"/>
    <col min="1290" max="1290" width="15.42578125" style="157" customWidth="1"/>
    <col min="1291" max="1536" width="9.140625" style="157"/>
    <col min="1537" max="1537" width="13.85546875" style="157" customWidth="1"/>
    <col min="1538" max="1538" width="2.140625" style="157" customWidth="1"/>
    <col min="1539" max="1539" width="23.5703125" style="157" customWidth="1"/>
    <col min="1540" max="1540" width="26.85546875" style="157" customWidth="1"/>
    <col min="1541" max="1541" width="16.140625" style="157" customWidth="1"/>
    <col min="1542" max="1542" width="15.42578125" style="157" customWidth="1"/>
    <col min="1543" max="1543" width="2.140625" style="157" customWidth="1"/>
    <col min="1544" max="1544" width="14" style="157" customWidth="1"/>
    <col min="1545" max="1545" width="2.140625" style="157" customWidth="1"/>
    <col min="1546" max="1546" width="15.42578125" style="157" customWidth="1"/>
    <col min="1547" max="1792" width="9.140625" style="157"/>
    <col min="1793" max="1793" width="13.85546875" style="157" customWidth="1"/>
    <col min="1794" max="1794" width="2.140625" style="157" customWidth="1"/>
    <col min="1795" max="1795" width="23.5703125" style="157" customWidth="1"/>
    <col min="1796" max="1796" width="26.85546875" style="157" customWidth="1"/>
    <col min="1797" max="1797" width="16.140625" style="157" customWidth="1"/>
    <col min="1798" max="1798" width="15.42578125" style="157" customWidth="1"/>
    <col min="1799" max="1799" width="2.140625" style="157" customWidth="1"/>
    <col min="1800" max="1800" width="14" style="157" customWidth="1"/>
    <col min="1801" max="1801" width="2.140625" style="157" customWidth="1"/>
    <col min="1802" max="1802" width="15.42578125" style="157" customWidth="1"/>
    <col min="1803" max="2048" width="9.140625" style="157"/>
    <col min="2049" max="2049" width="13.85546875" style="157" customWidth="1"/>
    <col min="2050" max="2050" width="2.140625" style="157" customWidth="1"/>
    <col min="2051" max="2051" width="23.5703125" style="157" customWidth="1"/>
    <col min="2052" max="2052" width="26.85546875" style="157" customWidth="1"/>
    <col min="2053" max="2053" width="16.140625" style="157" customWidth="1"/>
    <col min="2054" max="2054" width="15.42578125" style="157" customWidth="1"/>
    <col min="2055" max="2055" width="2.140625" style="157" customWidth="1"/>
    <col min="2056" max="2056" width="14" style="157" customWidth="1"/>
    <col min="2057" max="2057" width="2.140625" style="157" customWidth="1"/>
    <col min="2058" max="2058" width="15.42578125" style="157" customWidth="1"/>
    <col min="2059" max="2304" width="9.140625" style="157"/>
    <col min="2305" max="2305" width="13.85546875" style="157" customWidth="1"/>
    <col min="2306" max="2306" width="2.140625" style="157" customWidth="1"/>
    <col min="2307" max="2307" width="23.5703125" style="157" customWidth="1"/>
    <col min="2308" max="2308" width="26.85546875" style="157" customWidth="1"/>
    <col min="2309" max="2309" width="16.140625" style="157" customWidth="1"/>
    <col min="2310" max="2310" width="15.42578125" style="157" customWidth="1"/>
    <col min="2311" max="2311" width="2.140625" style="157" customWidth="1"/>
    <col min="2312" max="2312" width="14" style="157" customWidth="1"/>
    <col min="2313" max="2313" width="2.140625" style="157" customWidth="1"/>
    <col min="2314" max="2314" width="15.42578125" style="157" customWidth="1"/>
    <col min="2315" max="2560" width="9.140625" style="157"/>
    <col min="2561" max="2561" width="13.85546875" style="157" customWidth="1"/>
    <col min="2562" max="2562" width="2.140625" style="157" customWidth="1"/>
    <col min="2563" max="2563" width="23.5703125" style="157" customWidth="1"/>
    <col min="2564" max="2564" width="26.85546875" style="157" customWidth="1"/>
    <col min="2565" max="2565" width="16.140625" style="157" customWidth="1"/>
    <col min="2566" max="2566" width="15.42578125" style="157" customWidth="1"/>
    <col min="2567" max="2567" width="2.140625" style="157" customWidth="1"/>
    <col min="2568" max="2568" width="14" style="157" customWidth="1"/>
    <col min="2569" max="2569" width="2.140625" style="157" customWidth="1"/>
    <col min="2570" max="2570" width="15.42578125" style="157" customWidth="1"/>
    <col min="2571" max="2816" width="9.140625" style="157"/>
    <col min="2817" max="2817" width="13.85546875" style="157" customWidth="1"/>
    <col min="2818" max="2818" width="2.140625" style="157" customWidth="1"/>
    <col min="2819" max="2819" width="23.5703125" style="157" customWidth="1"/>
    <col min="2820" max="2820" width="26.85546875" style="157" customWidth="1"/>
    <col min="2821" max="2821" width="16.140625" style="157" customWidth="1"/>
    <col min="2822" max="2822" width="15.42578125" style="157" customWidth="1"/>
    <col min="2823" max="2823" width="2.140625" style="157" customWidth="1"/>
    <col min="2824" max="2824" width="14" style="157" customWidth="1"/>
    <col min="2825" max="2825" width="2.140625" style="157" customWidth="1"/>
    <col min="2826" max="2826" width="15.42578125" style="157" customWidth="1"/>
    <col min="2827" max="3072" width="9.140625" style="157"/>
    <col min="3073" max="3073" width="13.85546875" style="157" customWidth="1"/>
    <col min="3074" max="3074" width="2.140625" style="157" customWidth="1"/>
    <col min="3075" max="3075" width="23.5703125" style="157" customWidth="1"/>
    <col min="3076" max="3076" width="26.85546875" style="157" customWidth="1"/>
    <col min="3077" max="3077" width="16.140625" style="157" customWidth="1"/>
    <col min="3078" max="3078" width="15.42578125" style="157" customWidth="1"/>
    <col min="3079" max="3079" width="2.140625" style="157" customWidth="1"/>
    <col min="3080" max="3080" width="14" style="157" customWidth="1"/>
    <col min="3081" max="3081" width="2.140625" style="157" customWidth="1"/>
    <col min="3082" max="3082" width="15.42578125" style="157" customWidth="1"/>
    <col min="3083" max="3328" width="9.140625" style="157"/>
    <col min="3329" max="3329" width="13.85546875" style="157" customWidth="1"/>
    <col min="3330" max="3330" width="2.140625" style="157" customWidth="1"/>
    <col min="3331" max="3331" width="23.5703125" style="157" customWidth="1"/>
    <col min="3332" max="3332" width="26.85546875" style="157" customWidth="1"/>
    <col min="3333" max="3333" width="16.140625" style="157" customWidth="1"/>
    <col min="3334" max="3334" width="15.42578125" style="157" customWidth="1"/>
    <col min="3335" max="3335" width="2.140625" style="157" customWidth="1"/>
    <col min="3336" max="3336" width="14" style="157" customWidth="1"/>
    <col min="3337" max="3337" width="2.140625" style="157" customWidth="1"/>
    <col min="3338" max="3338" width="15.42578125" style="157" customWidth="1"/>
    <col min="3339" max="3584" width="9.140625" style="157"/>
    <col min="3585" max="3585" width="13.85546875" style="157" customWidth="1"/>
    <col min="3586" max="3586" width="2.140625" style="157" customWidth="1"/>
    <col min="3587" max="3587" width="23.5703125" style="157" customWidth="1"/>
    <col min="3588" max="3588" width="26.85546875" style="157" customWidth="1"/>
    <col min="3589" max="3589" width="16.140625" style="157" customWidth="1"/>
    <col min="3590" max="3590" width="15.42578125" style="157" customWidth="1"/>
    <col min="3591" max="3591" width="2.140625" style="157" customWidth="1"/>
    <col min="3592" max="3592" width="14" style="157" customWidth="1"/>
    <col min="3593" max="3593" width="2.140625" style="157" customWidth="1"/>
    <col min="3594" max="3594" width="15.42578125" style="157" customWidth="1"/>
    <col min="3595" max="3840" width="9.140625" style="157"/>
    <col min="3841" max="3841" width="13.85546875" style="157" customWidth="1"/>
    <col min="3842" max="3842" width="2.140625" style="157" customWidth="1"/>
    <col min="3843" max="3843" width="23.5703125" style="157" customWidth="1"/>
    <col min="3844" max="3844" width="26.85546875" style="157" customWidth="1"/>
    <col min="3845" max="3845" width="16.140625" style="157" customWidth="1"/>
    <col min="3846" max="3846" width="15.42578125" style="157" customWidth="1"/>
    <col min="3847" max="3847" width="2.140625" style="157" customWidth="1"/>
    <col min="3848" max="3848" width="14" style="157" customWidth="1"/>
    <col min="3849" max="3849" width="2.140625" style="157" customWidth="1"/>
    <col min="3850" max="3850" width="15.42578125" style="157" customWidth="1"/>
    <col min="3851" max="4096" width="9.140625" style="157"/>
    <col min="4097" max="4097" width="13.85546875" style="157" customWidth="1"/>
    <col min="4098" max="4098" width="2.140625" style="157" customWidth="1"/>
    <col min="4099" max="4099" width="23.5703125" style="157" customWidth="1"/>
    <col min="4100" max="4100" width="26.85546875" style="157" customWidth="1"/>
    <col min="4101" max="4101" width="16.140625" style="157" customWidth="1"/>
    <col min="4102" max="4102" width="15.42578125" style="157" customWidth="1"/>
    <col min="4103" max="4103" width="2.140625" style="157" customWidth="1"/>
    <col min="4104" max="4104" width="14" style="157" customWidth="1"/>
    <col min="4105" max="4105" width="2.140625" style="157" customWidth="1"/>
    <col min="4106" max="4106" width="15.42578125" style="157" customWidth="1"/>
    <col min="4107" max="4352" width="9.140625" style="157"/>
    <col min="4353" max="4353" width="13.85546875" style="157" customWidth="1"/>
    <col min="4354" max="4354" width="2.140625" style="157" customWidth="1"/>
    <col min="4355" max="4355" width="23.5703125" style="157" customWidth="1"/>
    <col min="4356" max="4356" width="26.85546875" style="157" customWidth="1"/>
    <col min="4357" max="4357" width="16.140625" style="157" customWidth="1"/>
    <col min="4358" max="4358" width="15.42578125" style="157" customWidth="1"/>
    <col min="4359" max="4359" width="2.140625" style="157" customWidth="1"/>
    <col min="4360" max="4360" width="14" style="157" customWidth="1"/>
    <col min="4361" max="4361" width="2.140625" style="157" customWidth="1"/>
    <col min="4362" max="4362" width="15.42578125" style="157" customWidth="1"/>
    <col min="4363" max="4608" width="9.140625" style="157"/>
    <col min="4609" max="4609" width="13.85546875" style="157" customWidth="1"/>
    <col min="4610" max="4610" width="2.140625" style="157" customWidth="1"/>
    <col min="4611" max="4611" width="23.5703125" style="157" customWidth="1"/>
    <col min="4612" max="4612" width="26.85546875" style="157" customWidth="1"/>
    <col min="4613" max="4613" width="16.140625" style="157" customWidth="1"/>
    <col min="4614" max="4614" width="15.42578125" style="157" customWidth="1"/>
    <col min="4615" max="4615" width="2.140625" style="157" customWidth="1"/>
    <col min="4616" max="4616" width="14" style="157" customWidth="1"/>
    <col min="4617" max="4617" width="2.140625" style="157" customWidth="1"/>
    <col min="4618" max="4618" width="15.42578125" style="157" customWidth="1"/>
    <col min="4619" max="4864" width="9.140625" style="157"/>
    <col min="4865" max="4865" width="13.85546875" style="157" customWidth="1"/>
    <col min="4866" max="4866" width="2.140625" style="157" customWidth="1"/>
    <col min="4867" max="4867" width="23.5703125" style="157" customWidth="1"/>
    <col min="4868" max="4868" width="26.85546875" style="157" customWidth="1"/>
    <col min="4869" max="4869" width="16.140625" style="157" customWidth="1"/>
    <col min="4870" max="4870" width="15.42578125" style="157" customWidth="1"/>
    <col min="4871" max="4871" width="2.140625" style="157" customWidth="1"/>
    <col min="4872" max="4872" width="14" style="157" customWidth="1"/>
    <col min="4873" max="4873" width="2.140625" style="157" customWidth="1"/>
    <col min="4874" max="4874" width="15.42578125" style="157" customWidth="1"/>
    <col min="4875" max="5120" width="9.140625" style="157"/>
    <col min="5121" max="5121" width="13.85546875" style="157" customWidth="1"/>
    <col min="5122" max="5122" width="2.140625" style="157" customWidth="1"/>
    <col min="5123" max="5123" width="23.5703125" style="157" customWidth="1"/>
    <col min="5124" max="5124" width="26.85546875" style="157" customWidth="1"/>
    <col min="5125" max="5125" width="16.140625" style="157" customWidth="1"/>
    <col min="5126" max="5126" width="15.42578125" style="157" customWidth="1"/>
    <col min="5127" max="5127" width="2.140625" style="157" customWidth="1"/>
    <col min="5128" max="5128" width="14" style="157" customWidth="1"/>
    <col min="5129" max="5129" width="2.140625" style="157" customWidth="1"/>
    <col min="5130" max="5130" width="15.42578125" style="157" customWidth="1"/>
    <col min="5131" max="5376" width="9.140625" style="157"/>
    <col min="5377" max="5377" width="13.85546875" style="157" customWidth="1"/>
    <col min="5378" max="5378" width="2.140625" style="157" customWidth="1"/>
    <col min="5379" max="5379" width="23.5703125" style="157" customWidth="1"/>
    <col min="5380" max="5380" width="26.85546875" style="157" customWidth="1"/>
    <col min="5381" max="5381" width="16.140625" style="157" customWidth="1"/>
    <col min="5382" max="5382" width="15.42578125" style="157" customWidth="1"/>
    <col min="5383" max="5383" width="2.140625" style="157" customWidth="1"/>
    <col min="5384" max="5384" width="14" style="157" customWidth="1"/>
    <col min="5385" max="5385" width="2.140625" style="157" customWidth="1"/>
    <col min="5386" max="5386" width="15.42578125" style="157" customWidth="1"/>
    <col min="5387" max="5632" width="9.140625" style="157"/>
    <col min="5633" max="5633" width="13.85546875" style="157" customWidth="1"/>
    <col min="5634" max="5634" width="2.140625" style="157" customWidth="1"/>
    <col min="5635" max="5635" width="23.5703125" style="157" customWidth="1"/>
    <col min="5636" max="5636" width="26.85546875" style="157" customWidth="1"/>
    <col min="5637" max="5637" width="16.140625" style="157" customWidth="1"/>
    <col min="5638" max="5638" width="15.42578125" style="157" customWidth="1"/>
    <col min="5639" max="5639" width="2.140625" style="157" customWidth="1"/>
    <col min="5640" max="5640" width="14" style="157" customWidth="1"/>
    <col min="5641" max="5641" width="2.140625" style="157" customWidth="1"/>
    <col min="5642" max="5642" width="15.42578125" style="157" customWidth="1"/>
    <col min="5643" max="5888" width="9.140625" style="157"/>
    <col min="5889" max="5889" width="13.85546875" style="157" customWidth="1"/>
    <col min="5890" max="5890" width="2.140625" style="157" customWidth="1"/>
    <col min="5891" max="5891" width="23.5703125" style="157" customWidth="1"/>
    <col min="5892" max="5892" width="26.85546875" style="157" customWidth="1"/>
    <col min="5893" max="5893" width="16.140625" style="157" customWidth="1"/>
    <col min="5894" max="5894" width="15.42578125" style="157" customWidth="1"/>
    <col min="5895" max="5895" width="2.140625" style="157" customWidth="1"/>
    <col min="5896" max="5896" width="14" style="157" customWidth="1"/>
    <col min="5897" max="5897" width="2.140625" style="157" customWidth="1"/>
    <col min="5898" max="5898" width="15.42578125" style="157" customWidth="1"/>
    <col min="5899" max="6144" width="9.140625" style="157"/>
    <col min="6145" max="6145" width="13.85546875" style="157" customWidth="1"/>
    <col min="6146" max="6146" width="2.140625" style="157" customWidth="1"/>
    <col min="6147" max="6147" width="23.5703125" style="157" customWidth="1"/>
    <col min="6148" max="6148" width="26.85546875" style="157" customWidth="1"/>
    <col min="6149" max="6149" width="16.140625" style="157" customWidth="1"/>
    <col min="6150" max="6150" width="15.42578125" style="157" customWidth="1"/>
    <col min="6151" max="6151" width="2.140625" style="157" customWidth="1"/>
    <col min="6152" max="6152" width="14" style="157" customWidth="1"/>
    <col min="6153" max="6153" width="2.140625" style="157" customWidth="1"/>
    <col min="6154" max="6154" width="15.42578125" style="157" customWidth="1"/>
    <col min="6155" max="6400" width="9.140625" style="157"/>
    <col min="6401" max="6401" width="13.85546875" style="157" customWidth="1"/>
    <col min="6402" max="6402" width="2.140625" style="157" customWidth="1"/>
    <col min="6403" max="6403" width="23.5703125" style="157" customWidth="1"/>
    <col min="6404" max="6404" width="26.85546875" style="157" customWidth="1"/>
    <col min="6405" max="6405" width="16.140625" style="157" customWidth="1"/>
    <col min="6406" max="6406" width="15.42578125" style="157" customWidth="1"/>
    <col min="6407" max="6407" width="2.140625" style="157" customWidth="1"/>
    <col min="6408" max="6408" width="14" style="157" customWidth="1"/>
    <col min="6409" max="6409" width="2.140625" style="157" customWidth="1"/>
    <col min="6410" max="6410" width="15.42578125" style="157" customWidth="1"/>
    <col min="6411" max="6656" width="9.140625" style="157"/>
    <col min="6657" max="6657" width="13.85546875" style="157" customWidth="1"/>
    <col min="6658" max="6658" width="2.140625" style="157" customWidth="1"/>
    <col min="6659" max="6659" width="23.5703125" style="157" customWidth="1"/>
    <col min="6660" max="6660" width="26.85546875" style="157" customWidth="1"/>
    <col min="6661" max="6661" width="16.140625" style="157" customWidth="1"/>
    <col min="6662" max="6662" width="15.42578125" style="157" customWidth="1"/>
    <col min="6663" max="6663" width="2.140625" style="157" customWidth="1"/>
    <col min="6664" max="6664" width="14" style="157" customWidth="1"/>
    <col min="6665" max="6665" width="2.140625" style="157" customWidth="1"/>
    <col min="6666" max="6666" width="15.42578125" style="157" customWidth="1"/>
    <col min="6667" max="6912" width="9.140625" style="157"/>
    <col min="6913" max="6913" width="13.85546875" style="157" customWidth="1"/>
    <col min="6914" max="6914" width="2.140625" style="157" customWidth="1"/>
    <col min="6915" max="6915" width="23.5703125" style="157" customWidth="1"/>
    <col min="6916" max="6916" width="26.85546875" style="157" customWidth="1"/>
    <col min="6917" max="6917" width="16.140625" style="157" customWidth="1"/>
    <col min="6918" max="6918" width="15.42578125" style="157" customWidth="1"/>
    <col min="6919" max="6919" width="2.140625" style="157" customWidth="1"/>
    <col min="6920" max="6920" width="14" style="157" customWidth="1"/>
    <col min="6921" max="6921" width="2.140625" style="157" customWidth="1"/>
    <col min="6922" max="6922" width="15.42578125" style="157" customWidth="1"/>
    <col min="6923" max="7168" width="9.140625" style="157"/>
    <col min="7169" max="7169" width="13.85546875" style="157" customWidth="1"/>
    <col min="7170" max="7170" width="2.140625" style="157" customWidth="1"/>
    <col min="7171" max="7171" width="23.5703125" style="157" customWidth="1"/>
    <col min="7172" max="7172" width="26.85546875" style="157" customWidth="1"/>
    <col min="7173" max="7173" width="16.140625" style="157" customWidth="1"/>
    <col min="7174" max="7174" width="15.42578125" style="157" customWidth="1"/>
    <col min="7175" max="7175" width="2.140625" style="157" customWidth="1"/>
    <col min="7176" max="7176" width="14" style="157" customWidth="1"/>
    <col min="7177" max="7177" width="2.140625" style="157" customWidth="1"/>
    <col min="7178" max="7178" width="15.42578125" style="157" customWidth="1"/>
    <col min="7179" max="7424" width="9.140625" style="157"/>
    <col min="7425" max="7425" width="13.85546875" style="157" customWidth="1"/>
    <col min="7426" max="7426" width="2.140625" style="157" customWidth="1"/>
    <col min="7427" max="7427" width="23.5703125" style="157" customWidth="1"/>
    <col min="7428" max="7428" width="26.85546875" style="157" customWidth="1"/>
    <col min="7429" max="7429" width="16.140625" style="157" customWidth="1"/>
    <col min="7430" max="7430" width="15.42578125" style="157" customWidth="1"/>
    <col min="7431" max="7431" width="2.140625" style="157" customWidth="1"/>
    <col min="7432" max="7432" width="14" style="157" customWidth="1"/>
    <col min="7433" max="7433" width="2.140625" style="157" customWidth="1"/>
    <col min="7434" max="7434" width="15.42578125" style="157" customWidth="1"/>
    <col min="7435" max="7680" width="9.140625" style="157"/>
    <col min="7681" max="7681" width="13.85546875" style="157" customWidth="1"/>
    <col min="7682" max="7682" width="2.140625" style="157" customWidth="1"/>
    <col min="7683" max="7683" width="23.5703125" style="157" customWidth="1"/>
    <col min="7684" max="7684" width="26.85546875" style="157" customWidth="1"/>
    <col min="7685" max="7685" width="16.140625" style="157" customWidth="1"/>
    <col min="7686" max="7686" width="15.42578125" style="157" customWidth="1"/>
    <col min="7687" max="7687" width="2.140625" style="157" customWidth="1"/>
    <col min="7688" max="7688" width="14" style="157" customWidth="1"/>
    <col min="7689" max="7689" width="2.140625" style="157" customWidth="1"/>
    <col min="7690" max="7690" width="15.42578125" style="157" customWidth="1"/>
    <col min="7691" max="7936" width="9.140625" style="157"/>
    <col min="7937" max="7937" width="13.85546875" style="157" customWidth="1"/>
    <col min="7938" max="7938" width="2.140625" style="157" customWidth="1"/>
    <col min="7939" max="7939" width="23.5703125" style="157" customWidth="1"/>
    <col min="7940" max="7940" width="26.85546875" style="157" customWidth="1"/>
    <col min="7941" max="7941" width="16.140625" style="157" customWidth="1"/>
    <col min="7942" max="7942" width="15.42578125" style="157" customWidth="1"/>
    <col min="7943" max="7943" width="2.140625" style="157" customWidth="1"/>
    <col min="7944" max="7944" width="14" style="157" customWidth="1"/>
    <col min="7945" max="7945" width="2.140625" style="157" customWidth="1"/>
    <col min="7946" max="7946" width="15.42578125" style="157" customWidth="1"/>
    <col min="7947" max="8192" width="9.140625" style="157"/>
    <col min="8193" max="8193" width="13.85546875" style="157" customWidth="1"/>
    <col min="8194" max="8194" width="2.140625" style="157" customWidth="1"/>
    <col min="8195" max="8195" width="23.5703125" style="157" customWidth="1"/>
    <col min="8196" max="8196" width="26.85546875" style="157" customWidth="1"/>
    <col min="8197" max="8197" width="16.140625" style="157" customWidth="1"/>
    <col min="8198" max="8198" width="15.42578125" style="157" customWidth="1"/>
    <col min="8199" max="8199" width="2.140625" style="157" customWidth="1"/>
    <col min="8200" max="8200" width="14" style="157" customWidth="1"/>
    <col min="8201" max="8201" width="2.140625" style="157" customWidth="1"/>
    <col min="8202" max="8202" width="15.42578125" style="157" customWidth="1"/>
    <col min="8203" max="8448" width="9.140625" style="157"/>
    <col min="8449" max="8449" width="13.85546875" style="157" customWidth="1"/>
    <col min="8450" max="8450" width="2.140625" style="157" customWidth="1"/>
    <col min="8451" max="8451" width="23.5703125" style="157" customWidth="1"/>
    <col min="8452" max="8452" width="26.85546875" style="157" customWidth="1"/>
    <col min="8453" max="8453" width="16.140625" style="157" customWidth="1"/>
    <col min="8454" max="8454" width="15.42578125" style="157" customWidth="1"/>
    <col min="8455" max="8455" width="2.140625" style="157" customWidth="1"/>
    <col min="8456" max="8456" width="14" style="157" customWidth="1"/>
    <col min="8457" max="8457" width="2.140625" style="157" customWidth="1"/>
    <col min="8458" max="8458" width="15.42578125" style="157" customWidth="1"/>
    <col min="8459" max="8704" width="9.140625" style="157"/>
    <col min="8705" max="8705" width="13.85546875" style="157" customWidth="1"/>
    <col min="8706" max="8706" width="2.140625" style="157" customWidth="1"/>
    <col min="8707" max="8707" width="23.5703125" style="157" customWidth="1"/>
    <col min="8708" max="8708" width="26.85546875" style="157" customWidth="1"/>
    <col min="8709" max="8709" width="16.140625" style="157" customWidth="1"/>
    <col min="8710" max="8710" width="15.42578125" style="157" customWidth="1"/>
    <col min="8711" max="8711" width="2.140625" style="157" customWidth="1"/>
    <col min="8712" max="8712" width="14" style="157" customWidth="1"/>
    <col min="8713" max="8713" width="2.140625" style="157" customWidth="1"/>
    <col min="8714" max="8714" width="15.42578125" style="157" customWidth="1"/>
    <col min="8715" max="8960" width="9.140625" style="157"/>
    <col min="8961" max="8961" width="13.85546875" style="157" customWidth="1"/>
    <col min="8962" max="8962" width="2.140625" style="157" customWidth="1"/>
    <col min="8963" max="8963" width="23.5703125" style="157" customWidth="1"/>
    <col min="8964" max="8964" width="26.85546875" style="157" customWidth="1"/>
    <col min="8965" max="8965" width="16.140625" style="157" customWidth="1"/>
    <col min="8966" max="8966" width="15.42578125" style="157" customWidth="1"/>
    <col min="8967" max="8967" width="2.140625" style="157" customWidth="1"/>
    <col min="8968" max="8968" width="14" style="157" customWidth="1"/>
    <col min="8969" max="8969" width="2.140625" style="157" customWidth="1"/>
    <col min="8970" max="8970" width="15.42578125" style="157" customWidth="1"/>
    <col min="8971" max="9216" width="9.140625" style="157"/>
    <col min="9217" max="9217" width="13.85546875" style="157" customWidth="1"/>
    <col min="9218" max="9218" width="2.140625" style="157" customWidth="1"/>
    <col min="9219" max="9219" width="23.5703125" style="157" customWidth="1"/>
    <col min="9220" max="9220" width="26.85546875" style="157" customWidth="1"/>
    <col min="9221" max="9221" width="16.140625" style="157" customWidth="1"/>
    <col min="9222" max="9222" width="15.42578125" style="157" customWidth="1"/>
    <col min="9223" max="9223" width="2.140625" style="157" customWidth="1"/>
    <col min="9224" max="9224" width="14" style="157" customWidth="1"/>
    <col min="9225" max="9225" width="2.140625" style="157" customWidth="1"/>
    <col min="9226" max="9226" width="15.42578125" style="157" customWidth="1"/>
    <col min="9227" max="9472" width="9.140625" style="157"/>
    <col min="9473" max="9473" width="13.85546875" style="157" customWidth="1"/>
    <col min="9474" max="9474" width="2.140625" style="157" customWidth="1"/>
    <col min="9475" max="9475" width="23.5703125" style="157" customWidth="1"/>
    <col min="9476" max="9476" width="26.85546875" style="157" customWidth="1"/>
    <col min="9477" max="9477" width="16.140625" style="157" customWidth="1"/>
    <col min="9478" max="9478" width="15.42578125" style="157" customWidth="1"/>
    <col min="9479" max="9479" width="2.140625" style="157" customWidth="1"/>
    <col min="9480" max="9480" width="14" style="157" customWidth="1"/>
    <col min="9481" max="9481" width="2.140625" style="157" customWidth="1"/>
    <col min="9482" max="9482" width="15.42578125" style="157" customWidth="1"/>
    <col min="9483" max="9728" width="9.140625" style="157"/>
    <col min="9729" max="9729" width="13.85546875" style="157" customWidth="1"/>
    <col min="9730" max="9730" width="2.140625" style="157" customWidth="1"/>
    <col min="9731" max="9731" width="23.5703125" style="157" customWidth="1"/>
    <col min="9732" max="9732" width="26.85546875" style="157" customWidth="1"/>
    <col min="9733" max="9733" width="16.140625" style="157" customWidth="1"/>
    <col min="9734" max="9734" width="15.42578125" style="157" customWidth="1"/>
    <col min="9735" max="9735" width="2.140625" style="157" customWidth="1"/>
    <col min="9736" max="9736" width="14" style="157" customWidth="1"/>
    <col min="9737" max="9737" width="2.140625" style="157" customWidth="1"/>
    <col min="9738" max="9738" width="15.42578125" style="157" customWidth="1"/>
    <col min="9739" max="9984" width="9.140625" style="157"/>
    <col min="9985" max="9985" width="13.85546875" style="157" customWidth="1"/>
    <col min="9986" max="9986" width="2.140625" style="157" customWidth="1"/>
    <col min="9987" max="9987" width="23.5703125" style="157" customWidth="1"/>
    <col min="9988" max="9988" width="26.85546875" style="157" customWidth="1"/>
    <col min="9989" max="9989" width="16.140625" style="157" customWidth="1"/>
    <col min="9990" max="9990" width="15.42578125" style="157" customWidth="1"/>
    <col min="9991" max="9991" width="2.140625" style="157" customWidth="1"/>
    <col min="9992" max="9992" width="14" style="157" customWidth="1"/>
    <col min="9993" max="9993" width="2.140625" style="157" customWidth="1"/>
    <col min="9994" max="9994" width="15.42578125" style="157" customWidth="1"/>
    <col min="9995" max="10240" width="9.140625" style="157"/>
    <col min="10241" max="10241" width="13.85546875" style="157" customWidth="1"/>
    <col min="10242" max="10242" width="2.140625" style="157" customWidth="1"/>
    <col min="10243" max="10243" width="23.5703125" style="157" customWidth="1"/>
    <col min="10244" max="10244" width="26.85546875" style="157" customWidth="1"/>
    <col min="10245" max="10245" width="16.140625" style="157" customWidth="1"/>
    <col min="10246" max="10246" width="15.42578125" style="157" customWidth="1"/>
    <col min="10247" max="10247" width="2.140625" style="157" customWidth="1"/>
    <col min="10248" max="10248" width="14" style="157" customWidth="1"/>
    <col min="10249" max="10249" width="2.140625" style="157" customWidth="1"/>
    <col min="10250" max="10250" width="15.42578125" style="157" customWidth="1"/>
    <col min="10251" max="10496" width="9.140625" style="157"/>
    <col min="10497" max="10497" width="13.85546875" style="157" customWidth="1"/>
    <col min="10498" max="10498" width="2.140625" style="157" customWidth="1"/>
    <col min="10499" max="10499" width="23.5703125" style="157" customWidth="1"/>
    <col min="10500" max="10500" width="26.85546875" style="157" customWidth="1"/>
    <col min="10501" max="10501" width="16.140625" style="157" customWidth="1"/>
    <col min="10502" max="10502" width="15.42578125" style="157" customWidth="1"/>
    <col min="10503" max="10503" width="2.140625" style="157" customWidth="1"/>
    <col min="10504" max="10504" width="14" style="157" customWidth="1"/>
    <col min="10505" max="10505" width="2.140625" style="157" customWidth="1"/>
    <col min="10506" max="10506" width="15.42578125" style="157" customWidth="1"/>
    <col min="10507" max="10752" width="9.140625" style="157"/>
    <col min="10753" max="10753" width="13.85546875" style="157" customWidth="1"/>
    <col min="10754" max="10754" width="2.140625" style="157" customWidth="1"/>
    <col min="10755" max="10755" width="23.5703125" style="157" customWidth="1"/>
    <col min="10756" max="10756" width="26.85546875" style="157" customWidth="1"/>
    <col min="10757" max="10757" width="16.140625" style="157" customWidth="1"/>
    <col min="10758" max="10758" width="15.42578125" style="157" customWidth="1"/>
    <col min="10759" max="10759" width="2.140625" style="157" customWidth="1"/>
    <col min="10760" max="10760" width="14" style="157" customWidth="1"/>
    <col min="10761" max="10761" width="2.140625" style="157" customWidth="1"/>
    <col min="10762" max="10762" width="15.42578125" style="157" customWidth="1"/>
    <col min="10763" max="11008" width="9.140625" style="157"/>
    <col min="11009" max="11009" width="13.85546875" style="157" customWidth="1"/>
    <col min="11010" max="11010" width="2.140625" style="157" customWidth="1"/>
    <col min="11011" max="11011" width="23.5703125" style="157" customWidth="1"/>
    <col min="11012" max="11012" width="26.85546875" style="157" customWidth="1"/>
    <col min="11013" max="11013" width="16.140625" style="157" customWidth="1"/>
    <col min="11014" max="11014" width="15.42578125" style="157" customWidth="1"/>
    <col min="11015" max="11015" width="2.140625" style="157" customWidth="1"/>
    <col min="11016" max="11016" width="14" style="157" customWidth="1"/>
    <col min="11017" max="11017" width="2.140625" style="157" customWidth="1"/>
    <col min="11018" max="11018" width="15.42578125" style="157" customWidth="1"/>
    <col min="11019" max="11264" width="9.140625" style="157"/>
    <col min="11265" max="11265" width="13.85546875" style="157" customWidth="1"/>
    <col min="11266" max="11266" width="2.140625" style="157" customWidth="1"/>
    <col min="11267" max="11267" width="23.5703125" style="157" customWidth="1"/>
    <col min="11268" max="11268" width="26.85546875" style="157" customWidth="1"/>
    <col min="11269" max="11269" width="16.140625" style="157" customWidth="1"/>
    <col min="11270" max="11270" width="15.42578125" style="157" customWidth="1"/>
    <col min="11271" max="11271" width="2.140625" style="157" customWidth="1"/>
    <col min="11272" max="11272" width="14" style="157" customWidth="1"/>
    <col min="11273" max="11273" width="2.140625" style="157" customWidth="1"/>
    <col min="11274" max="11274" width="15.42578125" style="157" customWidth="1"/>
    <col min="11275" max="11520" width="9.140625" style="157"/>
    <col min="11521" max="11521" width="13.85546875" style="157" customWidth="1"/>
    <col min="11522" max="11522" width="2.140625" style="157" customWidth="1"/>
    <col min="11523" max="11523" width="23.5703125" style="157" customWidth="1"/>
    <col min="11524" max="11524" width="26.85546875" style="157" customWidth="1"/>
    <col min="11525" max="11525" width="16.140625" style="157" customWidth="1"/>
    <col min="11526" max="11526" width="15.42578125" style="157" customWidth="1"/>
    <col min="11527" max="11527" width="2.140625" style="157" customWidth="1"/>
    <col min="11528" max="11528" width="14" style="157" customWidth="1"/>
    <col min="11529" max="11529" width="2.140625" style="157" customWidth="1"/>
    <col min="11530" max="11530" width="15.42578125" style="157" customWidth="1"/>
    <col min="11531" max="11776" width="9.140625" style="157"/>
    <col min="11777" max="11777" width="13.85546875" style="157" customWidth="1"/>
    <col min="11778" max="11778" width="2.140625" style="157" customWidth="1"/>
    <col min="11779" max="11779" width="23.5703125" style="157" customWidth="1"/>
    <col min="11780" max="11780" width="26.85546875" style="157" customWidth="1"/>
    <col min="11781" max="11781" width="16.140625" style="157" customWidth="1"/>
    <col min="11782" max="11782" width="15.42578125" style="157" customWidth="1"/>
    <col min="11783" max="11783" width="2.140625" style="157" customWidth="1"/>
    <col min="11784" max="11784" width="14" style="157" customWidth="1"/>
    <col min="11785" max="11785" width="2.140625" style="157" customWidth="1"/>
    <col min="11786" max="11786" width="15.42578125" style="157" customWidth="1"/>
    <col min="11787" max="12032" width="9.140625" style="157"/>
    <col min="12033" max="12033" width="13.85546875" style="157" customWidth="1"/>
    <col min="12034" max="12034" width="2.140625" style="157" customWidth="1"/>
    <col min="12035" max="12035" width="23.5703125" style="157" customWidth="1"/>
    <col min="12036" max="12036" width="26.85546875" style="157" customWidth="1"/>
    <col min="12037" max="12037" width="16.140625" style="157" customWidth="1"/>
    <col min="12038" max="12038" width="15.42578125" style="157" customWidth="1"/>
    <col min="12039" max="12039" width="2.140625" style="157" customWidth="1"/>
    <col min="12040" max="12040" width="14" style="157" customWidth="1"/>
    <col min="12041" max="12041" width="2.140625" style="157" customWidth="1"/>
    <col min="12042" max="12042" width="15.42578125" style="157" customWidth="1"/>
    <col min="12043" max="12288" width="9.140625" style="157"/>
    <col min="12289" max="12289" width="13.85546875" style="157" customWidth="1"/>
    <col min="12290" max="12290" width="2.140625" style="157" customWidth="1"/>
    <col min="12291" max="12291" width="23.5703125" style="157" customWidth="1"/>
    <col min="12292" max="12292" width="26.85546875" style="157" customWidth="1"/>
    <col min="12293" max="12293" width="16.140625" style="157" customWidth="1"/>
    <col min="12294" max="12294" width="15.42578125" style="157" customWidth="1"/>
    <col min="12295" max="12295" width="2.140625" style="157" customWidth="1"/>
    <col min="12296" max="12296" width="14" style="157" customWidth="1"/>
    <col min="12297" max="12297" width="2.140625" style="157" customWidth="1"/>
    <col min="12298" max="12298" width="15.42578125" style="157" customWidth="1"/>
    <col min="12299" max="12544" width="9.140625" style="157"/>
    <col min="12545" max="12545" width="13.85546875" style="157" customWidth="1"/>
    <col min="12546" max="12546" width="2.140625" style="157" customWidth="1"/>
    <col min="12547" max="12547" width="23.5703125" style="157" customWidth="1"/>
    <col min="12548" max="12548" width="26.85546875" style="157" customWidth="1"/>
    <col min="12549" max="12549" width="16.140625" style="157" customWidth="1"/>
    <col min="12550" max="12550" width="15.42578125" style="157" customWidth="1"/>
    <col min="12551" max="12551" width="2.140625" style="157" customWidth="1"/>
    <col min="12552" max="12552" width="14" style="157" customWidth="1"/>
    <col min="12553" max="12553" width="2.140625" style="157" customWidth="1"/>
    <col min="12554" max="12554" width="15.42578125" style="157" customWidth="1"/>
    <col min="12555" max="12800" width="9.140625" style="157"/>
    <col min="12801" max="12801" width="13.85546875" style="157" customWidth="1"/>
    <col min="12802" max="12802" width="2.140625" style="157" customWidth="1"/>
    <col min="12803" max="12803" width="23.5703125" style="157" customWidth="1"/>
    <col min="12804" max="12804" width="26.85546875" style="157" customWidth="1"/>
    <col min="12805" max="12805" width="16.140625" style="157" customWidth="1"/>
    <col min="12806" max="12806" width="15.42578125" style="157" customWidth="1"/>
    <col min="12807" max="12807" width="2.140625" style="157" customWidth="1"/>
    <col min="12808" max="12808" width="14" style="157" customWidth="1"/>
    <col min="12809" max="12809" width="2.140625" style="157" customWidth="1"/>
    <col min="12810" max="12810" width="15.42578125" style="157" customWidth="1"/>
    <col min="12811" max="13056" width="9.140625" style="157"/>
    <col min="13057" max="13057" width="13.85546875" style="157" customWidth="1"/>
    <col min="13058" max="13058" width="2.140625" style="157" customWidth="1"/>
    <col min="13059" max="13059" width="23.5703125" style="157" customWidth="1"/>
    <col min="13060" max="13060" width="26.85546875" style="157" customWidth="1"/>
    <col min="13061" max="13061" width="16.140625" style="157" customWidth="1"/>
    <col min="13062" max="13062" width="15.42578125" style="157" customWidth="1"/>
    <col min="13063" max="13063" width="2.140625" style="157" customWidth="1"/>
    <col min="13064" max="13064" width="14" style="157" customWidth="1"/>
    <col min="13065" max="13065" width="2.140625" style="157" customWidth="1"/>
    <col min="13066" max="13066" width="15.42578125" style="157" customWidth="1"/>
    <col min="13067" max="13312" width="9.140625" style="157"/>
    <col min="13313" max="13313" width="13.85546875" style="157" customWidth="1"/>
    <col min="13314" max="13314" width="2.140625" style="157" customWidth="1"/>
    <col min="13315" max="13315" width="23.5703125" style="157" customWidth="1"/>
    <col min="13316" max="13316" width="26.85546875" style="157" customWidth="1"/>
    <col min="13317" max="13317" width="16.140625" style="157" customWidth="1"/>
    <col min="13318" max="13318" width="15.42578125" style="157" customWidth="1"/>
    <col min="13319" max="13319" width="2.140625" style="157" customWidth="1"/>
    <col min="13320" max="13320" width="14" style="157" customWidth="1"/>
    <col min="13321" max="13321" width="2.140625" style="157" customWidth="1"/>
    <col min="13322" max="13322" width="15.42578125" style="157" customWidth="1"/>
    <col min="13323" max="13568" width="9.140625" style="157"/>
    <col min="13569" max="13569" width="13.85546875" style="157" customWidth="1"/>
    <col min="13570" max="13570" width="2.140625" style="157" customWidth="1"/>
    <col min="13571" max="13571" width="23.5703125" style="157" customWidth="1"/>
    <col min="13572" max="13572" width="26.85546875" style="157" customWidth="1"/>
    <col min="13573" max="13573" width="16.140625" style="157" customWidth="1"/>
    <col min="13574" max="13574" width="15.42578125" style="157" customWidth="1"/>
    <col min="13575" max="13575" width="2.140625" style="157" customWidth="1"/>
    <col min="13576" max="13576" width="14" style="157" customWidth="1"/>
    <col min="13577" max="13577" width="2.140625" style="157" customWidth="1"/>
    <col min="13578" max="13578" width="15.42578125" style="157" customWidth="1"/>
    <col min="13579" max="13824" width="9.140625" style="157"/>
    <col min="13825" max="13825" width="13.85546875" style="157" customWidth="1"/>
    <col min="13826" max="13826" width="2.140625" style="157" customWidth="1"/>
    <col min="13827" max="13827" width="23.5703125" style="157" customWidth="1"/>
    <col min="13828" max="13828" width="26.85546875" style="157" customWidth="1"/>
    <col min="13829" max="13829" width="16.140625" style="157" customWidth="1"/>
    <col min="13830" max="13830" width="15.42578125" style="157" customWidth="1"/>
    <col min="13831" max="13831" width="2.140625" style="157" customWidth="1"/>
    <col min="13832" max="13832" width="14" style="157" customWidth="1"/>
    <col min="13833" max="13833" width="2.140625" style="157" customWidth="1"/>
    <col min="13834" max="13834" width="15.42578125" style="157" customWidth="1"/>
    <col min="13835" max="14080" width="9.140625" style="157"/>
    <col min="14081" max="14081" width="13.85546875" style="157" customWidth="1"/>
    <col min="14082" max="14082" width="2.140625" style="157" customWidth="1"/>
    <col min="14083" max="14083" width="23.5703125" style="157" customWidth="1"/>
    <col min="14084" max="14084" width="26.85546875" style="157" customWidth="1"/>
    <col min="14085" max="14085" width="16.140625" style="157" customWidth="1"/>
    <col min="14086" max="14086" width="15.42578125" style="157" customWidth="1"/>
    <col min="14087" max="14087" width="2.140625" style="157" customWidth="1"/>
    <col min="14088" max="14088" width="14" style="157" customWidth="1"/>
    <col min="14089" max="14089" width="2.140625" style="157" customWidth="1"/>
    <col min="14090" max="14090" width="15.42578125" style="157" customWidth="1"/>
    <col min="14091" max="14336" width="9.140625" style="157"/>
    <col min="14337" max="14337" width="13.85546875" style="157" customWidth="1"/>
    <col min="14338" max="14338" width="2.140625" style="157" customWidth="1"/>
    <col min="14339" max="14339" width="23.5703125" style="157" customWidth="1"/>
    <col min="14340" max="14340" width="26.85546875" style="157" customWidth="1"/>
    <col min="14341" max="14341" width="16.140625" style="157" customWidth="1"/>
    <col min="14342" max="14342" width="15.42578125" style="157" customWidth="1"/>
    <col min="14343" max="14343" width="2.140625" style="157" customWidth="1"/>
    <col min="14344" max="14344" width="14" style="157" customWidth="1"/>
    <col min="14345" max="14345" width="2.140625" style="157" customWidth="1"/>
    <col min="14346" max="14346" width="15.42578125" style="157" customWidth="1"/>
    <col min="14347" max="14592" width="9.140625" style="157"/>
    <col min="14593" max="14593" width="13.85546875" style="157" customWidth="1"/>
    <col min="14594" max="14594" width="2.140625" style="157" customWidth="1"/>
    <col min="14595" max="14595" width="23.5703125" style="157" customWidth="1"/>
    <col min="14596" max="14596" width="26.85546875" style="157" customWidth="1"/>
    <col min="14597" max="14597" width="16.140625" style="157" customWidth="1"/>
    <col min="14598" max="14598" width="15.42578125" style="157" customWidth="1"/>
    <col min="14599" max="14599" width="2.140625" style="157" customWidth="1"/>
    <col min="14600" max="14600" width="14" style="157" customWidth="1"/>
    <col min="14601" max="14601" width="2.140625" style="157" customWidth="1"/>
    <col min="14602" max="14602" width="15.42578125" style="157" customWidth="1"/>
    <col min="14603" max="14848" width="9.140625" style="157"/>
    <col min="14849" max="14849" width="13.85546875" style="157" customWidth="1"/>
    <col min="14850" max="14850" width="2.140625" style="157" customWidth="1"/>
    <col min="14851" max="14851" width="23.5703125" style="157" customWidth="1"/>
    <col min="14852" max="14852" width="26.85546875" style="157" customWidth="1"/>
    <col min="14853" max="14853" width="16.140625" style="157" customWidth="1"/>
    <col min="14854" max="14854" width="15.42578125" style="157" customWidth="1"/>
    <col min="14855" max="14855" width="2.140625" style="157" customWidth="1"/>
    <col min="14856" max="14856" width="14" style="157" customWidth="1"/>
    <col min="14857" max="14857" width="2.140625" style="157" customWidth="1"/>
    <col min="14858" max="14858" width="15.42578125" style="157" customWidth="1"/>
    <col min="14859" max="15104" width="9.140625" style="157"/>
    <col min="15105" max="15105" width="13.85546875" style="157" customWidth="1"/>
    <col min="15106" max="15106" width="2.140625" style="157" customWidth="1"/>
    <col min="15107" max="15107" width="23.5703125" style="157" customWidth="1"/>
    <col min="15108" max="15108" width="26.85546875" style="157" customWidth="1"/>
    <col min="15109" max="15109" width="16.140625" style="157" customWidth="1"/>
    <col min="15110" max="15110" width="15.42578125" style="157" customWidth="1"/>
    <col min="15111" max="15111" width="2.140625" style="157" customWidth="1"/>
    <col min="15112" max="15112" width="14" style="157" customWidth="1"/>
    <col min="15113" max="15113" width="2.140625" style="157" customWidth="1"/>
    <col min="15114" max="15114" width="15.42578125" style="157" customWidth="1"/>
    <col min="15115" max="15360" width="9.140625" style="157"/>
    <col min="15361" max="15361" width="13.85546875" style="157" customWidth="1"/>
    <col min="15362" max="15362" width="2.140625" style="157" customWidth="1"/>
    <col min="15363" max="15363" width="23.5703125" style="157" customWidth="1"/>
    <col min="15364" max="15364" width="26.85546875" style="157" customWidth="1"/>
    <col min="15365" max="15365" width="16.140625" style="157" customWidth="1"/>
    <col min="15366" max="15366" width="15.42578125" style="157" customWidth="1"/>
    <col min="15367" max="15367" width="2.140625" style="157" customWidth="1"/>
    <col min="15368" max="15368" width="14" style="157" customWidth="1"/>
    <col min="15369" max="15369" width="2.140625" style="157" customWidth="1"/>
    <col min="15370" max="15370" width="15.42578125" style="157" customWidth="1"/>
    <col min="15371" max="15616" width="9.140625" style="157"/>
    <col min="15617" max="15617" width="13.85546875" style="157" customWidth="1"/>
    <col min="15618" max="15618" width="2.140625" style="157" customWidth="1"/>
    <col min="15619" max="15619" width="23.5703125" style="157" customWidth="1"/>
    <col min="15620" max="15620" width="26.85546875" style="157" customWidth="1"/>
    <col min="15621" max="15621" width="16.140625" style="157" customWidth="1"/>
    <col min="15622" max="15622" width="15.42578125" style="157" customWidth="1"/>
    <col min="15623" max="15623" width="2.140625" style="157" customWidth="1"/>
    <col min="15624" max="15624" width="14" style="157" customWidth="1"/>
    <col min="15625" max="15625" width="2.140625" style="157" customWidth="1"/>
    <col min="15626" max="15626" width="15.42578125" style="157" customWidth="1"/>
    <col min="15627" max="15872" width="9.140625" style="157"/>
    <col min="15873" max="15873" width="13.85546875" style="157" customWidth="1"/>
    <col min="15874" max="15874" width="2.140625" style="157" customWidth="1"/>
    <col min="15875" max="15875" width="23.5703125" style="157" customWidth="1"/>
    <col min="15876" max="15876" width="26.85546875" style="157" customWidth="1"/>
    <col min="15877" max="15877" width="16.140625" style="157" customWidth="1"/>
    <col min="15878" max="15878" width="15.42578125" style="157" customWidth="1"/>
    <col min="15879" max="15879" width="2.140625" style="157" customWidth="1"/>
    <col min="15880" max="15880" width="14" style="157" customWidth="1"/>
    <col min="15881" max="15881" width="2.140625" style="157" customWidth="1"/>
    <col min="15882" max="15882" width="15.42578125" style="157" customWidth="1"/>
    <col min="15883" max="16128" width="9.140625" style="157"/>
    <col min="16129" max="16129" width="13.85546875" style="157" customWidth="1"/>
    <col min="16130" max="16130" width="2.140625" style="157" customWidth="1"/>
    <col min="16131" max="16131" width="23.5703125" style="157" customWidth="1"/>
    <col min="16132" max="16132" width="26.85546875" style="157" customWidth="1"/>
    <col min="16133" max="16133" width="16.140625" style="157" customWidth="1"/>
    <col min="16134" max="16134" width="15.42578125" style="157" customWidth="1"/>
    <col min="16135" max="16135" width="2.140625" style="157" customWidth="1"/>
    <col min="16136" max="16136" width="14" style="157" customWidth="1"/>
    <col min="16137" max="16137" width="2.140625" style="157" customWidth="1"/>
    <col min="16138" max="16138" width="15.42578125" style="157" customWidth="1"/>
    <col min="16139" max="16384" width="9.140625" style="157"/>
  </cols>
  <sheetData>
    <row r="1" spans="1:11" ht="20.100000000000001" customHeight="1" x14ac:dyDescent="0.2">
      <c r="A1" s="159" t="s">
        <v>1424</v>
      </c>
      <c r="J1" s="100" t="s">
        <v>1738</v>
      </c>
    </row>
    <row r="2" spans="1:11" ht="23.1" customHeight="1" x14ac:dyDescent="0.2">
      <c r="A2" s="23" t="s">
        <v>55</v>
      </c>
      <c r="B2" s="23" t="s">
        <v>56</v>
      </c>
      <c r="E2" s="24" t="s">
        <v>57</v>
      </c>
      <c r="F2" s="24" t="s">
        <v>58</v>
      </c>
      <c r="H2" s="24" t="s">
        <v>59</v>
      </c>
      <c r="J2" s="24" t="s">
        <v>60</v>
      </c>
    </row>
    <row r="3" spans="1:11" ht="15.95" customHeight="1" x14ac:dyDescent="0.2">
      <c r="A3" s="156">
        <v>1</v>
      </c>
      <c r="B3" s="369" t="s">
        <v>62</v>
      </c>
      <c r="C3" s="370"/>
      <c r="D3" s="370"/>
      <c r="E3" s="177">
        <v>314364585.81999999</v>
      </c>
      <c r="F3" s="177">
        <v>130240444.76000001</v>
      </c>
      <c r="G3" s="25"/>
      <c r="H3" s="177">
        <v>133281647.70999999</v>
      </c>
      <c r="I3" s="25"/>
      <c r="J3" s="177">
        <v>311323382.87</v>
      </c>
      <c r="K3" s="25">
        <f>J3-E3</f>
        <v>-3041202.9499999881</v>
      </c>
    </row>
    <row r="4" spans="1:11" ht="15.95" customHeight="1" x14ac:dyDescent="0.2">
      <c r="A4" s="156">
        <v>11</v>
      </c>
      <c r="B4" s="369" t="s">
        <v>63</v>
      </c>
      <c r="C4" s="370"/>
      <c r="D4" s="370"/>
      <c r="E4" s="177">
        <v>9912329.9199999999</v>
      </c>
      <c r="F4" s="177">
        <v>129122804.56999999</v>
      </c>
      <c r="G4" s="25"/>
      <c r="H4" s="177">
        <v>121142713.13</v>
      </c>
      <c r="I4" s="25"/>
      <c r="J4" s="177">
        <v>17892421.359999999</v>
      </c>
      <c r="K4" s="25">
        <f t="shared" ref="K4:K67" si="0">J4-E4</f>
        <v>7980091.4399999995</v>
      </c>
    </row>
    <row r="5" spans="1:11" ht="15.95" customHeight="1" x14ac:dyDescent="0.2">
      <c r="A5" s="158">
        <v>111</v>
      </c>
      <c r="B5" s="371" t="s">
        <v>64</v>
      </c>
      <c r="C5" s="372"/>
      <c r="D5" s="372"/>
      <c r="E5" s="178">
        <v>3326940.17</v>
      </c>
      <c r="F5" s="178">
        <v>73289752.010000005</v>
      </c>
      <c r="G5" s="31"/>
      <c r="H5" s="178">
        <v>66759542.990000002</v>
      </c>
      <c r="I5" s="31"/>
      <c r="J5" s="178">
        <v>9857149.1899999995</v>
      </c>
      <c r="K5" s="31">
        <f t="shared" si="0"/>
        <v>6530209.0199999996</v>
      </c>
    </row>
    <row r="6" spans="1:11" ht="15.95" customHeight="1" x14ac:dyDescent="0.2">
      <c r="A6" s="156">
        <v>11101</v>
      </c>
      <c r="B6" s="369" t="s">
        <v>65</v>
      </c>
      <c r="C6" s="370"/>
      <c r="D6" s="370"/>
      <c r="E6" s="177">
        <v>1599.31</v>
      </c>
      <c r="F6" s="177">
        <v>406556.62</v>
      </c>
      <c r="G6" s="25"/>
      <c r="H6" s="177">
        <v>407468.48</v>
      </c>
      <c r="I6" s="25"/>
      <c r="J6" s="177">
        <v>687.45</v>
      </c>
      <c r="K6" s="25">
        <f t="shared" si="0"/>
        <v>-911.8599999999999</v>
      </c>
    </row>
    <row r="7" spans="1:11" ht="15.95" customHeight="1" x14ac:dyDescent="0.2">
      <c r="A7" s="156">
        <v>1110101</v>
      </c>
      <c r="B7" s="369" t="s">
        <v>66</v>
      </c>
      <c r="C7" s="370"/>
      <c r="D7" s="370"/>
      <c r="E7" s="177">
        <v>1599.31</v>
      </c>
      <c r="F7" s="177">
        <v>406556.62</v>
      </c>
      <c r="G7" s="25"/>
      <c r="H7" s="177">
        <v>407468.48</v>
      </c>
      <c r="I7" s="25"/>
      <c r="J7" s="177">
        <v>687.45</v>
      </c>
      <c r="K7" s="25">
        <f t="shared" si="0"/>
        <v>-911.8599999999999</v>
      </c>
    </row>
    <row r="8" spans="1:11" ht="15.95" customHeight="1" x14ac:dyDescent="0.2">
      <c r="A8" s="156" t="s">
        <v>67</v>
      </c>
      <c r="B8" s="369" t="s">
        <v>68</v>
      </c>
      <c r="C8" s="370"/>
      <c r="D8" s="370"/>
      <c r="E8" s="177">
        <v>1599.31</v>
      </c>
      <c r="F8" s="177">
        <v>406556.62</v>
      </c>
      <c r="G8" s="25"/>
      <c r="H8" s="177">
        <v>407468.48</v>
      </c>
      <c r="I8" s="25"/>
      <c r="J8" s="177">
        <v>687.45</v>
      </c>
      <c r="K8" s="25">
        <f t="shared" si="0"/>
        <v>-911.8599999999999</v>
      </c>
    </row>
    <row r="9" spans="1:11" ht="15.95" customHeight="1" x14ac:dyDescent="0.2">
      <c r="A9" s="156">
        <v>11102</v>
      </c>
      <c r="B9" s="369" t="s">
        <v>69</v>
      </c>
      <c r="C9" s="370"/>
      <c r="D9" s="370"/>
      <c r="E9" s="177">
        <v>0</v>
      </c>
      <c r="F9" s="177">
        <v>26195.3</v>
      </c>
      <c r="G9" s="25"/>
      <c r="H9" s="177">
        <v>24185.88</v>
      </c>
      <c r="I9" s="25"/>
      <c r="J9" s="177">
        <v>2009.42</v>
      </c>
      <c r="K9" s="25">
        <f t="shared" si="0"/>
        <v>2009.42</v>
      </c>
    </row>
    <row r="10" spans="1:11" ht="15.95" customHeight="1" x14ac:dyDescent="0.2">
      <c r="A10" s="156">
        <v>1110204</v>
      </c>
      <c r="B10" s="369" t="s">
        <v>70</v>
      </c>
      <c r="C10" s="370"/>
      <c r="D10" s="370"/>
      <c r="E10" s="177">
        <v>0</v>
      </c>
      <c r="F10" s="177">
        <v>26195.3</v>
      </c>
      <c r="G10" s="25"/>
      <c r="H10" s="177">
        <v>24185.88</v>
      </c>
      <c r="I10" s="25"/>
      <c r="J10" s="177">
        <v>2009.42</v>
      </c>
      <c r="K10" s="25">
        <f t="shared" si="0"/>
        <v>2009.42</v>
      </c>
    </row>
    <row r="11" spans="1:11" ht="15.95" customHeight="1" x14ac:dyDescent="0.2">
      <c r="A11" s="156" t="s">
        <v>71</v>
      </c>
      <c r="B11" s="369" t="s">
        <v>72</v>
      </c>
      <c r="C11" s="370"/>
      <c r="D11" s="370"/>
      <c r="E11" s="177">
        <v>0</v>
      </c>
      <c r="F11" s="177">
        <v>6042.8</v>
      </c>
      <c r="G11" s="25"/>
      <c r="H11" s="177">
        <v>6042.8</v>
      </c>
      <c r="I11" s="25"/>
      <c r="J11" s="177">
        <v>0</v>
      </c>
      <c r="K11" s="25">
        <f t="shared" si="0"/>
        <v>0</v>
      </c>
    </row>
    <row r="12" spans="1:11" ht="15.95" customHeight="1" x14ac:dyDescent="0.2">
      <c r="A12" s="156" t="s">
        <v>73</v>
      </c>
      <c r="B12" s="369" t="s">
        <v>74</v>
      </c>
      <c r="C12" s="370"/>
      <c r="D12" s="370"/>
      <c r="E12" s="177">
        <v>0</v>
      </c>
      <c r="F12" s="177">
        <v>14102.36</v>
      </c>
      <c r="G12" s="25"/>
      <c r="H12" s="177">
        <v>12092.94</v>
      </c>
      <c r="I12" s="25"/>
      <c r="J12" s="177">
        <v>2009.42</v>
      </c>
      <c r="K12" s="25">
        <f t="shared" si="0"/>
        <v>2009.42</v>
      </c>
    </row>
    <row r="13" spans="1:11" ht="15.95" customHeight="1" x14ac:dyDescent="0.2">
      <c r="A13" s="156" t="s">
        <v>75</v>
      </c>
      <c r="B13" s="369" t="s">
        <v>76</v>
      </c>
      <c r="C13" s="370"/>
      <c r="D13" s="370"/>
      <c r="E13" s="177">
        <v>0</v>
      </c>
      <c r="F13" s="177">
        <v>6050.14</v>
      </c>
      <c r="G13" s="25"/>
      <c r="H13" s="177">
        <v>6050.14</v>
      </c>
      <c r="I13" s="25"/>
      <c r="J13" s="177">
        <v>0</v>
      </c>
      <c r="K13" s="25">
        <f t="shared" si="0"/>
        <v>0</v>
      </c>
    </row>
    <row r="14" spans="1:11" ht="15.95" customHeight="1" x14ac:dyDescent="0.2">
      <c r="A14" s="156">
        <v>11103</v>
      </c>
      <c r="B14" s="369" t="s">
        <v>77</v>
      </c>
      <c r="C14" s="370"/>
      <c r="D14" s="370"/>
      <c r="E14" s="177">
        <v>452766.94</v>
      </c>
      <c r="F14" s="177">
        <v>58951390.560000002</v>
      </c>
      <c r="G14" s="25"/>
      <c r="H14" s="177">
        <v>58234833.409999996</v>
      </c>
      <c r="I14" s="25"/>
      <c r="J14" s="177">
        <v>1169324.0900000001</v>
      </c>
      <c r="K14" s="25">
        <f t="shared" si="0"/>
        <v>716557.15000000014</v>
      </c>
    </row>
    <row r="15" spans="1:11" ht="15.95" customHeight="1" x14ac:dyDescent="0.2">
      <c r="A15" s="156">
        <v>1110301</v>
      </c>
      <c r="B15" s="369" t="s">
        <v>78</v>
      </c>
      <c r="C15" s="370"/>
      <c r="D15" s="370"/>
      <c r="E15" s="177">
        <v>452766.94</v>
      </c>
      <c r="F15" s="177">
        <v>58951390.560000002</v>
      </c>
      <c r="G15" s="25"/>
      <c r="H15" s="177">
        <v>58234833.409999996</v>
      </c>
      <c r="I15" s="25"/>
      <c r="J15" s="177">
        <v>1169324.0900000001</v>
      </c>
      <c r="K15" s="25">
        <f t="shared" si="0"/>
        <v>716557.15000000014</v>
      </c>
    </row>
    <row r="16" spans="1:11" ht="15.95" customHeight="1" x14ac:dyDescent="0.2">
      <c r="A16" s="156" t="s">
        <v>79</v>
      </c>
      <c r="B16" s="369" t="s">
        <v>80</v>
      </c>
      <c r="C16" s="370"/>
      <c r="D16" s="370"/>
      <c r="E16" s="177">
        <v>452766.94</v>
      </c>
      <c r="F16" s="177">
        <v>58951390.560000002</v>
      </c>
      <c r="G16" s="25"/>
      <c r="H16" s="177">
        <v>58234833.409999996</v>
      </c>
      <c r="I16" s="25"/>
      <c r="J16" s="177">
        <v>1169324.0900000001</v>
      </c>
      <c r="K16" s="25">
        <f t="shared" si="0"/>
        <v>716557.15000000014</v>
      </c>
    </row>
    <row r="17" spans="1:11" ht="15.95" customHeight="1" x14ac:dyDescent="0.2">
      <c r="A17" s="156">
        <v>11104</v>
      </c>
      <c r="B17" s="369" t="s">
        <v>81</v>
      </c>
      <c r="C17" s="370"/>
      <c r="D17" s="370"/>
      <c r="E17" s="177">
        <v>2659.77</v>
      </c>
      <c r="F17" s="177">
        <v>228000</v>
      </c>
      <c r="G17" s="25"/>
      <c r="H17" s="177">
        <v>230578.73</v>
      </c>
      <c r="I17" s="25"/>
      <c r="J17" s="177">
        <v>81.040000000000006</v>
      </c>
      <c r="K17" s="25">
        <f t="shared" si="0"/>
        <v>-2578.73</v>
      </c>
    </row>
    <row r="18" spans="1:11" ht="15.95" customHeight="1" x14ac:dyDescent="0.2">
      <c r="A18" s="156">
        <v>1110401</v>
      </c>
      <c r="B18" s="369" t="s">
        <v>82</v>
      </c>
      <c r="C18" s="370"/>
      <c r="D18" s="370"/>
      <c r="E18" s="177">
        <v>2659.77</v>
      </c>
      <c r="F18" s="177">
        <v>228000</v>
      </c>
      <c r="G18" s="25"/>
      <c r="H18" s="177">
        <v>230578.73</v>
      </c>
      <c r="I18" s="25"/>
      <c r="J18" s="177">
        <v>81.040000000000006</v>
      </c>
      <c r="K18" s="25">
        <f t="shared" si="0"/>
        <v>-2578.73</v>
      </c>
    </row>
    <row r="19" spans="1:11" ht="15.95" customHeight="1" x14ac:dyDescent="0.2">
      <c r="A19" s="156" t="s">
        <v>83</v>
      </c>
      <c r="B19" s="369" t="s">
        <v>84</v>
      </c>
      <c r="C19" s="370"/>
      <c r="D19" s="370"/>
      <c r="E19" s="177">
        <v>2659.77</v>
      </c>
      <c r="F19" s="177">
        <v>228000</v>
      </c>
      <c r="G19" s="25"/>
      <c r="H19" s="177">
        <v>230578.73</v>
      </c>
      <c r="I19" s="25"/>
      <c r="J19" s="177">
        <v>81.040000000000006</v>
      </c>
      <c r="K19" s="25">
        <f t="shared" si="0"/>
        <v>-2578.73</v>
      </c>
    </row>
    <row r="20" spans="1:11" ht="15.95" customHeight="1" x14ac:dyDescent="0.2">
      <c r="A20" s="156">
        <v>11105</v>
      </c>
      <c r="B20" s="369" t="s">
        <v>85</v>
      </c>
      <c r="C20" s="370"/>
      <c r="D20" s="370"/>
      <c r="E20" s="177">
        <v>771.18</v>
      </c>
      <c r="F20" s="177">
        <v>35.29</v>
      </c>
      <c r="G20" s="25"/>
      <c r="H20" s="177">
        <v>3.06</v>
      </c>
      <c r="I20" s="25"/>
      <c r="J20" s="177">
        <v>803.41</v>
      </c>
      <c r="K20" s="25">
        <f t="shared" si="0"/>
        <v>32.230000000000018</v>
      </c>
    </row>
    <row r="21" spans="1:11" ht="15.95" customHeight="1" x14ac:dyDescent="0.2">
      <c r="A21" s="156">
        <v>1110501</v>
      </c>
      <c r="B21" s="369" t="s">
        <v>78</v>
      </c>
      <c r="C21" s="370"/>
      <c r="D21" s="370"/>
      <c r="E21" s="177">
        <v>771.18</v>
      </c>
      <c r="F21" s="177">
        <v>35.29</v>
      </c>
      <c r="G21" s="25"/>
      <c r="H21" s="177">
        <v>3.06</v>
      </c>
      <c r="I21" s="25"/>
      <c r="J21" s="177">
        <v>803.41</v>
      </c>
      <c r="K21" s="25">
        <f t="shared" si="0"/>
        <v>32.230000000000018</v>
      </c>
    </row>
    <row r="22" spans="1:11" ht="15.95" customHeight="1" x14ac:dyDescent="0.2">
      <c r="A22" s="156" t="s">
        <v>86</v>
      </c>
      <c r="B22" s="369" t="s">
        <v>87</v>
      </c>
      <c r="C22" s="370"/>
      <c r="D22" s="370"/>
      <c r="E22" s="177">
        <v>300.26</v>
      </c>
      <c r="F22" s="177">
        <v>13.67</v>
      </c>
      <c r="G22" s="25"/>
      <c r="H22" s="177">
        <v>3.06</v>
      </c>
      <c r="I22" s="25"/>
      <c r="J22" s="177">
        <v>310.87</v>
      </c>
      <c r="K22" s="25">
        <f t="shared" si="0"/>
        <v>10.610000000000014</v>
      </c>
    </row>
    <row r="23" spans="1:11" ht="15.95" customHeight="1" x14ac:dyDescent="0.2">
      <c r="A23" s="156" t="s">
        <v>88</v>
      </c>
      <c r="B23" s="369" t="s">
        <v>89</v>
      </c>
      <c r="C23" s="370"/>
      <c r="D23" s="370"/>
      <c r="E23" s="177">
        <v>470.92</v>
      </c>
      <c r="F23" s="177">
        <v>21.62</v>
      </c>
      <c r="G23" s="25"/>
      <c r="H23" s="177">
        <v>0</v>
      </c>
      <c r="I23" s="25"/>
      <c r="J23" s="177">
        <v>492.54</v>
      </c>
      <c r="K23" s="25">
        <f t="shared" si="0"/>
        <v>21.620000000000005</v>
      </c>
    </row>
    <row r="24" spans="1:11" ht="15.95" customHeight="1" x14ac:dyDescent="0.2">
      <c r="A24" s="156">
        <v>11106</v>
      </c>
      <c r="B24" s="369" t="s">
        <v>90</v>
      </c>
      <c r="C24" s="370"/>
      <c r="D24" s="370"/>
      <c r="E24" s="177">
        <v>2869142.97</v>
      </c>
      <c r="F24" s="177">
        <v>13677574.24</v>
      </c>
      <c r="G24" s="25"/>
      <c r="H24" s="177">
        <v>7862473.4299999997</v>
      </c>
      <c r="I24" s="25"/>
      <c r="J24" s="177">
        <v>8684243.7799999993</v>
      </c>
      <c r="K24" s="25">
        <f t="shared" si="0"/>
        <v>5815100.8099999987</v>
      </c>
    </row>
    <row r="25" spans="1:11" ht="15.95" customHeight="1" x14ac:dyDescent="0.2">
      <c r="A25" s="156">
        <v>1110601</v>
      </c>
      <c r="B25" s="369" t="s">
        <v>78</v>
      </c>
      <c r="C25" s="370"/>
      <c r="D25" s="370"/>
      <c r="E25" s="177">
        <v>2869142.97</v>
      </c>
      <c r="F25" s="177">
        <v>13677574.24</v>
      </c>
      <c r="G25" s="25"/>
      <c r="H25" s="177">
        <v>7862473.4299999997</v>
      </c>
      <c r="I25" s="25"/>
      <c r="J25" s="177">
        <v>8684243.7799999993</v>
      </c>
      <c r="K25" s="25">
        <f t="shared" si="0"/>
        <v>5815100.8099999987</v>
      </c>
    </row>
    <row r="26" spans="1:11" ht="15.95" customHeight="1" x14ac:dyDescent="0.2">
      <c r="A26" s="156" t="s">
        <v>91</v>
      </c>
      <c r="B26" s="369" t="s">
        <v>92</v>
      </c>
      <c r="C26" s="370"/>
      <c r="D26" s="370"/>
      <c r="E26" s="177">
        <v>1452756.73</v>
      </c>
      <c r="F26" s="177">
        <v>13636304.59</v>
      </c>
      <c r="G26" s="25"/>
      <c r="H26" s="177">
        <v>7626757.71</v>
      </c>
      <c r="I26" s="25"/>
      <c r="J26" s="177">
        <v>7462303.6100000003</v>
      </c>
      <c r="K26" s="25">
        <f t="shared" si="0"/>
        <v>6009546.8800000008</v>
      </c>
    </row>
    <row r="27" spans="1:11" ht="15.95" customHeight="1" x14ac:dyDescent="0.2">
      <c r="A27" s="156" t="s">
        <v>93</v>
      </c>
      <c r="B27" s="369" t="s">
        <v>94</v>
      </c>
      <c r="C27" s="370"/>
      <c r="D27" s="370"/>
      <c r="E27" s="177">
        <v>1416386.24</v>
      </c>
      <c r="F27" s="177">
        <v>41269.65</v>
      </c>
      <c r="G27" s="25"/>
      <c r="H27" s="177">
        <v>235715.72</v>
      </c>
      <c r="I27" s="25"/>
      <c r="J27" s="177">
        <v>1221940.17</v>
      </c>
      <c r="K27" s="25">
        <f t="shared" si="0"/>
        <v>-194446.07000000007</v>
      </c>
    </row>
    <row r="28" spans="1:11" ht="15.95" customHeight="1" x14ac:dyDescent="0.2">
      <c r="A28" s="156">
        <v>112</v>
      </c>
      <c r="B28" s="369" t="s">
        <v>95</v>
      </c>
      <c r="C28" s="370"/>
      <c r="D28" s="370"/>
      <c r="E28" s="177">
        <v>5339136.25</v>
      </c>
      <c r="F28" s="177">
        <v>52124958.909999996</v>
      </c>
      <c r="G28" s="25"/>
      <c r="H28" s="177">
        <v>51549776.969999999</v>
      </c>
      <c r="I28" s="25"/>
      <c r="J28" s="177">
        <v>5914318.1900000004</v>
      </c>
      <c r="K28" s="25">
        <f t="shared" si="0"/>
        <v>575181.94000000041</v>
      </c>
    </row>
    <row r="29" spans="1:11" ht="15.95" customHeight="1" x14ac:dyDescent="0.2">
      <c r="A29" s="158">
        <v>11201</v>
      </c>
      <c r="B29" s="371" t="s">
        <v>96</v>
      </c>
      <c r="C29" s="372"/>
      <c r="D29" s="372"/>
      <c r="E29" s="178">
        <v>5003798.17</v>
      </c>
      <c r="F29" s="178">
        <v>50430823.670000002</v>
      </c>
      <c r="G29" s="31"/>
      <c r="H29" s="178">
        <v>50296140.140000001</v>
      </c>
      <c r="I29" s="31"/>
      <c r="J29" s="178">
        <v>5138481.7</v>
      </c>
      <c r="K29" s="31">
        <f t="shared" si="0"/>
        <v>134683.53000000026</v>
      </c>
    </row>
    <row r="30" spans="1:11" ht="15.95" customHeight="1" x14ac:dyDescent="0.2">
      <c r="A30" s="156">
        <v>1120101</v>
      </c>
      <c r="B30" s="369" t="s">
        <v>97</v>
      </c>
      <c r="C30" s="370"/>
      <c r="D30" s="370"/>
      <c r="E30" s="177">
        <v>4720845.2300000004</v>
      </c>
      <c r="F30" s="177">
        <v>50417821.490000002</v>
      </c>
      <c r="G30" s="25"/>
      <c r="H30" s="177">
        <v>50138776.539999999</v>
      </c>
      <c r="I30" s="25"/>
      <c r="J30" s="177">
        <v>4999890.18</v>
      </c>
      <c r="K30" s="25">
        <f t="shared" si="0"/>
        <v>279044.94999999925</v>
      </c>
    </row>
    <row r="31" spans="1:11" ht="15.95" customHeight="1" x14ac:dyDescent="0.2">
      <c r="A31" s="156" t="s">
        <v>98</v>
      </c>
      <c r="B31" s="369" t="s">
        <v>99</v>
      </c>
      <c r="C31" s="370"/>
      <c r="D31" s="370"/>
      <c r="E31" s="177">
        <v>4720845.2300000004</v>
      </c>
      <c r="F31" s="177">
        <v>50417821.490000002</v>
      </c>
      <c r="G31" s="25"/>
      <c r="H31" s="177">
        <v>50138776.539999999</v>
      </c>
      <c r="I31" s="25"/>
      <c r="J31" s="177">
        <v>4999890.18</v>
      </c>
      <c r="K31" s="25">
        <f t="shared" si="0"/>
        <v>279044.94999999925</v>
      </c>
    </row>
    <row r="32" spans="1:11" ht="15.95" customHeight="1" x14ac:dyDescent="0.2">
      <c r="A32" s="156">
        <v>1120102</v>
      </c>
      <c r="B32" s="369" t="s">
        <v>100</v>
      </c>
      <c r="C32" s="370"/>
      <c r="D32" s="370"/>
      <c r="E32" s="177">
        <v>282952.94</v>
      </c>
      <c r="F32" s="177">
        <v>13002.18</v>
      </c>
      <c r="G32" s="25"/>
      <c r="H32" s="177">
        <v>157363.6</v>
      </c>
      <c r="I32" s="25"/>
      <c r="J32" s="177">
        <v>138591.51999999999</v>
      </c>
      <c r="K32" s="25">
        <f t="shared" si="0"/>
        <v>-144361.42000000001</v>
      </c>
    </row>
    <row r="33" spans="1:11" ht="15.95" customHeight="1" x14ac:dyDescent="0.2">
      <c r="A33" s="156" t="s">
        <v>101</v>
      </c>
      <c r="B33" s="369" t="s">
        <v>102</v>
      </c>
      <c r="C33" s="370"/>
      <c r="D33" s="370"/>
      <c r="E33" s="177">
        <v>44032.56</v>
      </c>
      <c r="F33" s="177">
        <v>0</v>
      </c>
      <c r="G33" s="25"/>
      <c r="H33" s="177">
        <v>0</v>
      </c>
      <c r="I33" s="25"/>
      <c r="J33" s="177">
        <v>44032.56</v>
      </c>
      <c r="K33" s="25">
        <f t="shared" si="0"/>
        <v>0</v>
      </c>
    </row>
    <row r="34" spans="1:11" ht="15.95" customHeight="1" x14ac:dyDescent="0.2">
      <c r="A34" s="156" t="s">
        <v>103</v>
      </c>
      <c r="B34" s="369" t="s">
        <v>104</v>
      </c>
      <c r="C34" s="370"/>
      <c r="D34" s="370"/>
      <c r="E34" s="177">
        <v>4672.18</v>
      </c>
      <c r="F34" s="177">
        <v>0</v>
      </c>
      <c r="G34" s="25"/>
      <c r="H34" s="177">
        <v>0</v>
      </c>
      <c r="I34" s="25"/>
      <c r="J34" s="177">
        <v>4672.18</v>
      </c>
      <c r="K34" s="25">
        <f t="shared" si="0"/>
        <v>0</v>
      </c>
    </row>
    <row r="35" spans="1:11" ht="15.95" customHeight="1" x14ac:dyDescent="0.2">
      <c r="A35" s="156" t="s">
        <v>105</v>
      </c>
      <c r="B35" s="369" t="s">
        <v>106</v>
      </c>
      <c r="C35" s="370"/>
      <c r="D35" s="370"/>
      <c r="E35" s="177">
        <v>4858.7</v>
      </c>
      <c r="F35" s="177">
        <v>104.89</v>
      </c>
      <c r="G35" s="25"/>
      <c r="H35" s="177">
        <v>4963.59</v>
      </c>
      <c r="I35" s="25"/>
      <c r="J35" s="177">
        <v>0</v>
      </c>
      <c r="K35" s="25">
        <f t="shared" si="0"/>
        <v>-4858.7</v>
      </c>
    </row>
    <row r="36" spans="1:11" ht="15.95" customHeight="1" x14ac:dyDescent="0.2">
      <c r="A36" s="156" t="s">
        <v>1803</v>
      </c>
      <c r="B36" s="369" t="s">
        <v>1804</v>
      </c>
      <c r="C36" s="370"/>
      <c r="D36" s="370"/>
      <c r="E36" s="177">
        <v>10769.72</v>
      </c>
      <c r="F36" s="177">
        <v>0</v>
      </c>
      <c r="G36" s="25"/>
      <c r="H36" s="177">
        <v>10769.72</v>
      </c>
      <c r="I36" s="25"/>
      <c r="J36" s="177">
        <v>0</v>
      </c>
      <c r="K36" s="25">
        <f t="shared" si="0"/>
        <v>-10769.72</v>
      </c>
    </row>
    <row r="37" spans="1:11" ht="15.95" customHeight="1" x14ac:dyDescent="0.2">
      <c r="A37" s="156" t="s">
        <v>107</v>
      </c>
      <c r="B37" s="369" t="s">
        <v>108</v>
      </c>
      <c r="C37" s="370"/>
      <c r="D37" s="370"/>
      <c r="E37" s="177">
        <v>33243.24</v>
      </c>
      <c r="F37" s="177">
        <v>0</v>
      </c>
      <c r="G37" s="25"/>
      <c r="H37" s="177">
        <v>0</v>
      </c>
      <c r="I37" s="25"/>
      <c r="J37" s="177">
        <v>33243.24</v>
      </c>
      <c r="K37" s="25">
        <f t="shared" si="0"/>
        <v>0</v>
      </c>
    </row>
    <row r="38" spans="1:11" ht="15.95" customHeight="1" x14ac:dyDescent="0.2">
      <c r="A38" s="156" t="s">
        <v>109</v>
      </c>
      <c r="B38" s="369" t="s">
        <v>110</v>
      </c>
      <c r="C38" s="370"/>
      <c r="D38" s="370"/>
      <c r="E38" s="177">
        <v>43918.41</v>
      </c>
      <c r="F38" s="177">
        <v>0</v>
      </c>
      <c r="G38" s="25"/>
      <c r="H38" s="177">
        <v>43918.41</v>
      </c>
      <c r="I38" s="25"/>
      <c r="J38" s="177">
        <v>0</v>
      </c>
      <c r="K38" s="25">
        <f t="shared" si="0"/>
        <v>-43918.41</v>
      </c>
    </row>
    <row r="39" spans="1:11" ht="15.95" customHeight="1" x14ac:dyDescent="0.2">
      <c r="A39" s="156" t="s">
        <v>111</v>
      </c>
      <c r="B39" s="369" t="s">
        <v>112</v>
      </c>
      <c r="C39" s="370"/>
      <c r="D39" s="370"/>
      <c r="E39" s="177">
        <v>32410.799999999999</v>
      </c>
      <c r="F39" s="177">
        <v>0</v>
      </c>
      <c r="G39" s="25"/>
      <c r="H39" s="177">
        <v>0</v>
      </c>
      <c r="I39" s="25"/>
      <c r="J39" s="177">
        <v>32410.799999999999</v>
      </c>
      <c r="K39" s="25">
        <f t="shared" si="0"/>
        <v>0</v>
      </c>
    </row>
    <row r="40" spans="1:11" ht="15.95" customHeight="1" x14ac:dyDescent="0.2">
      <c r="A40" s="156" t="s">
        <v>113</v>
      </c>
      <c r="B40" s="369" t="s">
        <v>114</v>
      </c>
      <c r="C40" s="370"/>
      <c r="D40" s="370"/>
      <c r="E40" s="177">
        <v>109047.33</v>
      </c>
      <c r="F40" s="177">
        <v>12897.29</v>
      </c>
      <c r="G40" s="25"/>
      <c r="H40" s="177">
        <v>97711.88</v>
      </c>
      <c r="I40" s="25"/>
      <c r="J40" s="177">
        <v>24232.74</v>
      </c>
      <c r="K40" s="25">
        <f t="shared" si="0"/>
        <v>-84814.59</v>
      </c>
    </row>
    <row r="41" spans="1:11" ht="15.95" customHeight="1" x14ac:dyDescent="0.2">
      <c r="A41" s="158">
        <v>11202</v>
      </c>
      <c r="B41" s="371" t="s">
        <v>115</v>
      </c>
      <c r="C41" s="372"/>
      <c r="D41" s="372"/>
      <c r="E41" s="178">
        <v>-328283.25</v>
      </c>
      <c r="F41" s="178">
        <v>0</v>
      </c>
      <c r="G41" s="31"/>
      <c r="H41" s="178">
        <v>0</v>
      </c>
      <c r="I41" s="31"/>
      <c r="J41" s="178">
        <v>-328283.25</v>
      </c>
      <c r="K41" s="31">
        <f t="shared" si="0"/>
        <v>0</v>
      </c>
    </row>
    <row r="42" spans="1:11" ht="15.95" customHeight="1" x14ac:dyDescent="0.2">
      <c r="A42" s="156">
        <v>1120201</v>
      </c>
      <c r="B42" s="369" t="s">
        <v>116</v>
      </c>
      <c r="C42" s="370"/>
      <c r="D42" s="370"/>
      <c r="E42" s="177">
        <v>-328283.25</v>
      </c>
      <c r="F42" s="177">
        <v>0</v>
      </c>
      <c r="G42" s="25"/>
      <c r="H42" s="177">
        <v>0</v>
      </c>
      <c r="I42" s="25"/>
      <c r="J42" s="177">
        <v>-328283.25</v>
      </c>
      <c r="K42" s="25">
        <f t="shared" si="0"/>
        <v>0</v>
      </c>
    </row>
    <row r="43" spans="1:11" ht="15.95" customHeight="1" x14ac:dyDescent="0.2">
      <c r="A43" s="156" t="s">
        <v>117</v>
      </c>
      <c r="B43" s="369" t="s">
        <v>118</v>
      </c>
      <c r="C43" s="370"/>
      <c r="D43" s="370"/>
      <c r="E43" s="177">
        <v>-328283.25</v>
      </c>
      <c r="F43" s="177">
        <v>0</v>
      </c>
      <c r="G43" s="25"/>
      <c r="H43" s="177">
        <v>0</v>
      </c>
      <c r="I43" s="25"/>
      <c r="J43" s="177">
        <v>-328283.25</v>
      </c>
      <c r="K43" s="25">
        <f t="shared" si="0"/>
        <v>0</v>
      </c>
    </row>
    <row r="44" spans="1:11" ht="15.95" customHeight="1" x14ac:dyDescent="0.2">
      <c r="A44" s="158">
        <v>11204</v>
      </c>
      <c r="B44" s="371" t="s">
        <v>119</v>
      </c>
      <c r="C44" s="372"/>
      <c r="D44" s="372"/>
      <c r="E44" s="178">
        <v>116405.14</v>
      </c>
      <c r="F44" s="178">
        <v>365406.61</v>
      </c>
      <c r="G44" s="31"/>
      <c r="H44" s="178">
        <v>388354.25</v>
      </c>
      <c r="I44" s="31"/>
      <c r="J44" s="178">
        <v>93457.5</v>
      </c>
      <c r="K44" s="31">
        <f t="shared" si="0"/>
        <v>-22947.64</v>
      </c>
    </row>
    <row r="45" spans="1:11" ht="15.95" customHeight="1" x14ac:dyDescent="0.2">
      <c r="A45" s="156">
        <v>1120401</v>
      </c>
      <c r="B45" s="369" t="s">
        <v>120</v>
      </c>
      <c r="C45" s="370"/>
      <c r="D45" s="370"/>
      <c r="E45" s="177">
        <v>75020.070000000007</v>
      </c>
      <c r="F45" s="177">
        <v>163540</v>
      </c>
      <c r="G45" s="25"/>
      <c r="H45" s="177">
        <v>165886.26999999999</v>
      </c>
      <c r="I45" s="25"/>
      <c r="J45" s="177">
        <v>72673.8</v>
      </c>
      <c r="K45" s="25">
        <f t="shared" si="0"/>
        <v>-2346.2700000000041</v>
      </c>
    </row>
    <row r="46" spans="1:11" ht="15.95" customHeight="1" x14ac:dyDescent="0.2">
      <c r="A46" s="156" t="s">
        <v>121</v>
      </c>
      <c r="B46" s="369" t="s">
        <v>122</v>
      </c>
      <c r="C46" s="370"/>
      <c r="D46" s="370"/>
      <c r="E46" s="177">
        <v>75020.070000000007</v>
      </c>
      <c r="F46" s="177">
        <v>163540</v>
      </c>
      <c r="G46" s="25"/>
      <c r="H46" s="177">
        <v>165886.26999999999</v>
      </c>
      <c r="I46" s="25"/>
      <c r="J46" s="177">
        <v>72673.8</v>
      </c>
      <c r="K46" s="25">
        <f t="shared" si="0"/>
        <v>-2346.2700000000041</v>
      </c>
    </row>
    <row r="47" spans="1:11" ht="15.95" customHeight="1" x14ac:dyDescent="0.2">
      <c r="A47" s="156">
        <v>1120407</v>
      </c>
      <c r="B47" s="369" t="s">
        <v>123</v>
      </c>
      <c r="C47" s="370"/>
      <c r="D47" s="370"/>
      <c r="E47" s="177">
        <v>41385.07</v>
      </c>
      <c r="F47" s="177">
        <v>201866.61</v>
      </c>
      <c r="G47" s="25"/>
      <c r="H47" s="177">
        <v>222467.98</v>
      </c>
      <c r="I47" s="25"/>
      <c r="J47" s="177">
        <v>20783.7</v>
      </c>
      <c r="K47" s="25">
        <f t="shared" si="0"/>
        <v>-20601.37</v>
      </c>
    </row>
    <row r="48" spans="1:11" ht="15.95" customHeight="1" x14ac:dyDescent="0.2">
      <c r="A48" s="156" t="s">
        <v>124</v>
      </c>
      <c r="B48" s="369" t="s">
        <v>125</v>
      </c>
      <c r="C48" s="370"/>
      <c r="D48" s="370"/>
      <c r="E48" s="177">
        <v>41385.07</v>
      </c>
      <c r="F48" s="177">
        <v>201866.61</v>
      </c>
      <c r="G48" s="25"/>
      <c r="H48" s="177">
        <v>222467.98</v>
      </c>
      <c r="I48" s="25"/>
      <c r="J48" s="177">
        <v>20783.7</v>
      </c>
      <c r="K48" s="25">
        <f t="shared" si="0"/>
        <v>-20601.37</v>
      </c>
    </row>
    <row r="49" spans="1:11" ht="15.95" customHeight="1" x14ac:dyDescent="0.2">
      <c r="A49" s="156">
        <v>11205</v>
      </c>
      <c r="B49" s="369" t="s">
        <v>126</v>
      </c>
      <c r="C49" s="370"/>
      <c r="D49" s="370"/>
      <c r="E49" s="177">
        <v>547216.18999999994</v>
      </c>
      <c r="F49" s="177">
        <v>1328728.6299999999</v>
      </c>
      <c r="G49" s="25"/>
      <c r="H49" s="177">
        <v>865282.58</v>
      </c>
      <c r="I49" s="25"/>
      <c r="J49" s="177">
        <v>1010662.24</v>
      </c>
      <c r="K49" s="25">
        <f t="shared" si="0"/>
        <v>463446.05000000005</v>
      </c>
    </row>
    <row r="50" spans="1:11" ht="15.95" customHeight="1" x14ac:dyDescent="0.2">
      <c r="A50" s="158">
        <v>1120501</v>
      </c>
      <c r="B50" s="371" t="s">
        <v>127</v>
      </c>
      <c r="C50" s="372"/>
      <c r="D50" s="372"/>
      <c r="E50" s="178">
        <v>330229.2</v>
      </c>
      <c r="F50" s="178">
        <v>36236.239999999998</v>
      </c>
      <c r="G50" s="31"/>
      <c r="H50" s="178">
        <v>0</v>
      </c>
      <c r="I50" s="31"/>
      <c r="J50" s="178">
        <v>366465.44</v>
      </c>
      <c r="K50" s="31">
        <f t="shared" si="0"/>
        <v>36236.239999999991</v>
      </c>
    </row>
    <row r="51" spans="1:11" ht="15.95" customHeight="1" x14ac:dyDescent="0.2">
      <c r="A51" s="156" t="s">
        <v>128</v>
      </c>
      <c r="B51" s="369" t="s">
        <v>129</v>
      </c>
      <c r="C51" s="370"/>
      <c r="D51" s="370"/>
      <c r="E51" s="177">
        <v>81476.070000000007</v>
      </c>
      <c r="F51" s="177">
        <v>0</v>
      </c>
      <c r="G51" s="25"/>
      <c r="H51" s="177">
        <v>0</v>
      </c>
      <c r="I51" s="25"/>
      <c r="J51" s="177">
        <v>81476.070000000007</v>
      </c>
      <c r="K51" s="25">
        <f t="shared" si="0"/>
        <v>0</v>
      </c>
    </row>
    <row r="52" spans="1:11" ht="15.95" customHeight="1" x14ac:dyDescent="0.2">
      <c r="A52" s="156" t="s">
        <v>130</v>
      </c>
      <c r="B52" s="369" t="s">
        <v>131</v>
      </c>
      <c r="C52" s="370"/>
      <c r="D52" s="370"/>
      <c r="E52" s="177">
        <v>248753.13</v>
      </c>
      <c r="F52" s="177">
        <v>36236.239999999998</v>
      </c>
      <c r="G52" s="25"/>
      <c r="H52" s="177">
        <v>0</v>
      </c>
      <c r="I52" s="25"/>
      <c r="J52" s="177">
        <v>284989.37</v>
      </c>
      <c r="K52" s="25">
        <f t="shared" si="0"/>
        <v>36236.239999999991</v>
      </c>
    </row>
    <row r="53" spans="1:11" ht="15.95" customHeight="1" x14ac:dyDescent="0.2">
      <c r="A53" s="158">
        <v>1120502</v>
      </c>
      <c r="B53" s="371" t="s">
        <v>132</v>
      </c>
      <c r="C53" s="372"/>
      <c r="D53" s="372"/>
      <c r="E53" s="178">
        <v>175546.99</v>
      </c>
      <c r="F53" s="178">
        <v>1292492.3899999999</v>
      </c>
      <c r="G53" s="31"/>
      <c r="H53" s="178">
        <v>865282.58</v>
      </c>
      <c r="I53" s="31"/>
      <c r="J53" s="178">
        <v>602756.80000000005</v>
      </c>
      <c r="K53" s="31">
        <f t="shared" si="0"/>
        <v>427209.81000000006</v>
      </c>
    </row>
    <row r="54" spans="1:11" ht="15.95" customHeight="1" x14ac:dyDescent="0.2">
      <c r="A54" s="156" t="s">
        <v>133</v>
      </c>
      <c r="B54" s="369" t="s">
        <v>134</v>
      </c>
      <c r="C54" s="370"/>
      <c r="D54" s="370"/>
      <c r="E54" s="177">
        <v>5019.84</v>
      </c>
      <c r="F54" s="177">
        <v>12730.3</v>
      </c>
      <c r="G54" s="25"/>
      <c r="H54" s="177">
        <v>1025.73</v>
      </c>
      <c r="I54" s="25"/>
      <c r="J54" s="177">
        <v>16724.41</v>
      </c>
      <c r="K54" s="25">
        <f t="shared" si="0"/>
        <v>11704.57</v>
      </c>
    </row>
    <row r="55" spans="1:11" ht="15.95" customHeight="1" x14ac:dyDescent="0.2">
      <c r="A55" s="156" t="s">
        <v>135</v>
      </c>
      <c r="B55" s="369" t="s">
        <v>136</v>
      </c>
      <c r="C55" s="370"/>
      <c r="D55" s="370"/>
      <c r="E55" s="177">
        <v>170527.15</v>
      </c>
      <c r="F55" s="177">
        <v>227713.37</v>
      </c>
      <c r="G55" s="25"/>
      <c r="H55" s="177">
        <v>327550.07</v>
      </c>
      <c r="I55" s="25"/>
      <c r="J55" s="177">
        <v>70690.45</v>
      </c>
      <c r="K55" s="25">
        <f t="shared" si="0"/>
        <v>-99836.7</v>
      </c>
    </row>
    <row r="56" spans="1:11" ht="27.95" customHeight="1" x14ac:dyDescent="0.2">
      <c r="A56" s="156" t="s">
        <v>137</v>
      </c>
      <c r="B56" s="369" t="s">
        <v>138</v>
      </c>
      <c r="C56" s="370"/>
      <c r="D56" s="370"/>
      <c r="E56" s="177">
        <v>0</v>
      </c>
      <c r="F56" s="177">
        <v>489662.01</v>
      </c>
      <c r="G56" s="25"/>
      <c r="H56" s="177">
        <v>489662.01</v>
      </c>
      <c r="I56" s="25"/>
      <c r="J56" s="177">
        <v>0</v>
      </c>
      <c r="K56" s="25">
        <f t="shared" si="0"/>
        <v>0</v>
      </c>
    </row>
    <row r="57" spans="1:11" ht="15.95" customHeight="1" x14ac:dyDescent="0.2">
      <c r="A57" s="156" t="s">
        <v>139</v>
      </c>
      <c r="B57" s="369" t="s">
        <v>140</v>
      </c>
      <c r="C57" s="370"/>
      <c r="D57" s="370"/>
      <c r="E57" s="177">
        <v>0</v>
      </c>
      <c r="F57" s="177">
        <v>511523.28</v>
      </c>
      <c r="G57" s="25"/>
      <c r="H57" s="177">
        <v>47044.77</v>
      </c>
      <c r="I57" s="25"/>
      <c r="J57" s="177">
        <v>464478.51</v>
      </c>
      <c r="K57" s="25">
        <f t="shared" si="0"/>
        <v>464478.51</v>
      </c>
    </row>
    <row r="58" spans="1:11" ht="15.95" customHeight="1" x14ac:dyDescent="0.2">
      <c r="A58" s="156" t="s">
        <v>141</v>
      </c>
      <c r="B58" s="369" t="s">
        <v>142</v>
      </c>
      <c r="C58" s="370"/>
      <c r="D58" s="370"/>
      <c r="E58" s="177">
        <v>0</v>
      </c>
      <c r="F58" s="177">
        <v>50863.43</v>
      </c>
      <c r="G58" s="25"/>
      <c r="H58" s="177">
        <v>0</v>
      </c>
      <c r="I58" s="25"/>
      <c r="J58" s="177">
        <v>50863.43</v>
      </c>
      <c r="K58" s="25">
        <f t="shared" si="0"/>
        <v>50863.43</v>
      </c>
    </row>
    <row r="59" spans="1:11" ht="15.95" customHeight="1" x14ac:dyDescent="0.2">
      <c r="A59" s="156">
        <v>1120503</v>
      </c>
      <c r="B59" s="369" t="s">
        <v>143</v>
      </c>
      <c r="C59" s="370"/>
      <c r="D59" s="370"/>
      <c r="E59" s="177">
        <v>41440</v>
      </c>
      <c r="F59" s="177">
        <v>0</v>
      </c>
      <c r="G59" s="25"/>
      <c r="H59" s="177">
        <v>0</v>
      </c>
      <c r="I59" s="25"/>
      <c r="J59" s="177">
        <v>41440</v>
      </c>
      <c r="K59" s="25">
        <f t="shared" si="0"/>
        <v>0</v>
      </c>
    </row>
    <row r="60" spans="1:11" ht="15.95" customHeight="1" x14ac:dyDescent="0.2">
      <c r="A60" s="156" t="s">
        <v>144</v>
      </c>
      <c r="B60" s="369" t="s">
        <v>145</v>
      </c>
      <c r="C60" s="370"/>
      <c r="D60" s="370"/>
      <c r="E60" s="177">
        <v>41440</v>
      </c>
      <c r="F60" s="177">
        <v>0</v>
      </c>
      <c r="G60" s="25"/>
      <c r="H60" s="177">
        <v>0</v>
      </c>
      <c r="I60" s="25"/>
      <c r="J60" s="177">
        <v>41440</v>
      </c>
      <c r="K60" s="25">
        <f t="shared" si="0"/>
        <v>0</v>
      </c>
    </row>
    <row r="61" spans="1:11" ht="15.95" customHeight="1" x14ac:dyDescent="0.2">
      <c r="A61" s="158">
        <v>113</v>
      </c>
      <c r="B61" s="371" t="s">
        <v>146</v>
      </c>
      <c r="C61" s="372"/>
      <c r="D61" s="372"/>
      <c r="E61" s="178">
        <v>958991.27</v>
      </c>
      <c r="F61" s="178">
        <v>3460402.39</v>
      </c>
      <c r="G61" s="31"/>
      <c r="H61" s="178">
        <v>2488600.9300000002</v>
      </c>
      <c r="I61" s="31"/>
      <c r="J61" s="178">
        <v>1930792.73</v>
      </c>
      <c r="K61" s="31">
        <f t="shared" si="0"/>
        <v>971801.46</v>
      </c>
    </row>
    <row r="62" spans="1:11" ht="15.95" customHeight="1" x14ac:dyDescent="0.2">
      <c r="A62" s="156">
        <v>11301</v>
      </c>
      <c r="B62" s="369" t="s">
        <v>146</v>
      </c>
      <c r="C62" s="370"/>
      <c r="D62" s="370"/>
      <c r="E62" s="177">
        <v>958991.27</v>
      </c>
      <c r="F62" s="177">
        <v>3460402.39</v>
      </c>
      <c r="G62" s="25"/>
      <c r="H62" s="177">
        <v>2488600.9300000002</v>
      </c>
      <c r="I62" s="25"/>
      <c r="J62" s="177">
        <v>1930792.73</v>
      </c>
      <c r="K62" s="25">
        <f t="shared" si="0"/>
        <v>971801.46</v>
      </c>
    </row>
    <row r="63" spans="1:11" ht="15.95" customHeight="1" x14ac:dyDescent="0.2">
      <c r="A63" s="156">
        <v>1130101</v>
      </c>
      <c r="B63" s="369" t="s">
        <v>147</v>
      </c>
      <c r="C63" s="370"/>
      <c r="D63" s="370"/>
      <c r="E63" s="177">
        <v>0</v>
      </c>
      <c r="F63" s="177">
        <v>1238496.21</v>
      </c>
      <c r="G63" s="25"/>
      <c r="H63" s="177">
        <v>466961.88</v>
      </c>
      <c r="I63" s="25"/>
      <c r="J63" s="177">
        <v>771534.33</v>
      </c>
      <c r="K63" s="25">
        <f t="shared" si="0"/>
        <v>771534.33</v>
      </c>
    </row>
    <row r="64" spans="1:11" ht="15.95" customHeight="1" x14ac:dyDescent="0.2">
      <c r="A64" s="156" t="s">
        <v>148</v>
      </c>
      <c r="B64" s="369" t="s">
        <v>149</v>
      </c>
      <c r="C64" s="370"/>
      <c r="D64" s="370"/>
      <c r="E64" s="177">
        <v>0</v>
      </c>
      <c r="F64" s="177">
        <v>614086.78</v>
      </c>
      <c r="G64" s="25"/>
      <c r="H64" s="177">
        <v>0</v>
      </c>
      <c r="I64" s="25"/>
      <c r="J64" s="177">
        <v>614086.78</v>
      </c>
      <c r="K64" s="25">
        <f t="shared" si="0"/>
        <v>614086.78</v>
      </c>
    </row>
    <row r="65" spans="1:11" ht="15.95" customHeight="1" x14ac:dyDescent="0.2">
      <c r="A65" s="156" t="s">
        <v>150</v>
      </c>
      <c r="B65" s="369" t="s">
        <v>151</v>
      </c>
      <c r="C65" s="370"/>
      <c r="D65" s="370"/>
      <c r="E65" s="177">
        <v>0</v>
      </c>
      <c r="F65" s="177">
        <v>29473.43</v>
      </c>
      <c r="G65" s="25"/>
      <c r="H65" s="177">
        <v>0</v>
      </c>
      <c r="I65" s="25"/>
      <c r="J65" s="177">
        <v>29473.43</v>
      </c>
      <c r="K65" s="25">
        <f t="shared" si="0"/>
        <v>29473.43</v>
      </c>
    </row>
    <row r="66" spans="1:11" ht="15.95" customHeight="1" x14ac:dyDescent="0.2">
      <c r="A66" s="156" t="s">
        <v>152</v>
      </c>
      <c r="B66" s="369" t="s">
        <v>153</v>
      </c>
      <c r="C66" s="370"/>
      <c r="D66" s="370"/>
      <c r="E66" s="177">
        <v>0</v>
      </c>
      <c r="F66" s="177">
        <v>39.39</v>
      </c>
      <c r="G66" s="25"/>
      <c r="H66" s="177">
        <v>0</v>
      </c>
      <c r="I66" s="25"/>
      <c r="J66" s="177">
        <v>39.39</v>
      </c>
      <c r="K66" s="25">
        <f t="shared" si="0"/>
        <v>39.39</v>
      </c>
    </row>
    <row r="67" spans="1:11" ht="15.95" customHeight="1" x14ac:dyDescent="0.2">
      <c r="A67" s="156" t="s">
        <v>154</v>
      </c>
      <c r="B67" s="369" t="s">
        <v>155</v>
      </c>
      <c r="C67" s="370"/>
      <c r="D67" s="370"/>
      <c r="E67" s="177">
        <v>0</v>
      </c>
      <c r="F67" s="177">
        <v>127934.73</v>
      </c>
      <c r="G67" s="25"/>
      <c r="H67" s="177">
        <v>0</v>
      </c>
      <c r="I67" s="25"/>
      <c r="J67" s="177">
        <v>127934.73</v>
      </c>
      <c r="K67" s="25">
        <f t="shared" si="0"/>
        <v>127934.73</v>
      </c>
    </row>
    <row r="68" spans="1:11" ht="15.95" customHeight="1" x14ac:dyDescent="0.2">
      <c r="A68" s="156" t="s">
        <v>156</v>
      </c>
      <c r="B68" s="369" t="s">
        <v>157</v>
      </c>
      <c r="C68" s="370"/>
      <c r="D68" s="370"/>
      <c r="E68" s="177">
        <v>0</v>
      </c>
      <c r="F68" s="177">
        <v>83157.62</v>
      </c>
      <c r="G68" s="25"/>
      <c r="H68" s="177">
        <v>83157.62</v>
      </c>
      <c r="I68" s="25"/>
      <c r="J68" s="177">
        <v>0</v>
      </c>
      <c r="K68" s="25">
        <f t="shared" ref="K68:K131" si="1">J68-E68</f>
        <v>0</v>
      </c>
    </row>
    <row r="69" spans="1:11" ht="15.95" customHeight="1" x14ac:dyDescent="0.2">
      <c r="A69" s="156" t="s">
        <v>158</v>
      </c>
      <c r="B69" s="369" t="s">
        <v>159</v>
      </c>
      <c r="C69" s="370"/>
      <c r="D69" s="370"/>
      <c r="E69" s="177">
        <v>0</v>
      </c>
      <c r="F69" s="177">
        <v>383804.26</v>
      </c>
      <c r="G69" s="25"/>
      <c r="H69" s="177">
        <v>383804.26</v>
      </c>
      <c r="I69" s="25"/>
      <c r="J69" s="177">
        <v>0</v>
      </c>
      <c r="K69" s="25">
        <f t="shared" si="1"/>
        <v>0</v>
      </c>
    </row>
    <row r="70" spans="1:11" ht="15.95" customHeight="1" x14ac:dyDescent="0.2">
      <c r="A70" s="156">
        <v>1130102</v>
      </c>
      <c r="B70" s="369" t="s">
        <v>160</v>
      </c>
      <c r="C70" s="370"/>
      <c r="D70" s="370"/>
      <c r="E70" s="177">
        <v>798390.41</v>
      </c>
      <c r="F70" s="177">
        <v>0</v>
      </c>
      <c r="G70" s="25"/>
      <c r="H70" s="177">
        <v>0</v>
      </c>
      <c r="I70" s="25"/>
      <c r="J70" s="177">
        <v>798390.41</v>
      </c>
      <c r="K70" s="25">
        <f t="shared" si="1"/>
        <v>0</v>
      </c>
    </row>
    <row r="71" spans="1:11" ht="15.95" customHeight="1" x14ac:dyDescent="0.2">
      <c r="A71" s="156" t="s">
        <v>161</v>
      </c>
      <c r="B71" s="369" t="s">
        <v>162</v>
      </c>
      <c r="C71" s="370"/>
      <c r="D71" s="370"/>
      <c r="E71" s="177">
        <v>798390.41</v>
      </c>
      <c r="F71" s="177">
        <v>0</v>
      </c>
      <c r="G71" s="25"/>
      <c r="H71" s="177">
        <v>0</v>
      </c>
      <c r="I71" s="25"/>
      <c r="J71" s="177">
        <v>798390.41</v>
      </c>
      <c r="K71" s="25">
        <f t="shared" si="1"/>
        <v>0</v>
      </c>
    </row>
    <row r="72" spans="1:11" ht="15.95" customHeight="1" x14ac:dyDescent="0.2">
      <c r="A72" s="156">
        <v>1130103</v>
      </c>
      <c r="B72" s="369" t="s">
        <v>163</v>
      </c>
      <c r="C72" s="370"/>
      <c r="D72" s="370"/>
      <c r="E72" s="177">
        <v>160600.85999999999</v>
      </c>
      <c r="F72" s="177">
        <v>0</v>
      </c>
      <c r="G72" s="25"/>
      <c r="H72" s="177">
        <v>0</v>
      </c>
      <c r="I72" s="25"/>
      <c r="J72" s="177">
        <v>160600.85999999999</v>
      </c>
      <c r="K72" s="25">
        <f t="shared" si="1"/>
        <v>0</v>
      </c>
    </row>
    <row r="73" spans="1:11" ht="15.95" customHeight="1" x14ac:dyDescent="0.2">
      <c r="A73" s="156" t="s">
        <v>164</v>
      </c>
      <c r="B73" s="369" t="s">
        <v>165</v>
      </c>
      <c r="C73" s="370"/>
      <c r="D73" s="370"/>
      <c r="E73" s="177">
        <v>160600.85999999999</v>
      </c>
      <c r="F73" s="177">
        <v>0</v>
      </c>
      <c r="G73" s="25"/>
      <c r="H73" s="177">
        <v>0</v>
      </c>
      <c r="I73" s="25"/>
      <c r="J73" s="177">
        <v>160600.85999999999</v>
      </c>
      <c r="K73" s="25">
        <f t="shared" si="1"/>
        <v>0</v>
      </c>
    </row>
    <row r="74" spans="1:11" ht="15.95" customHeight="1" x14ac:dyDescent="0.2">
      <c r="A74" s="156">
        <v>1130104</v>
      </c>
      <c r="B74" s="369" t="s">
        <v>166</v>
      </c>
      <c r="C74" s="370"/>
      <c r="D74" s="370"/>
      <c r="E74" s="177">
        <v>0</v>
      </c>
      <c r="F74" s="177">
        <v>2221906.1800000002</v>
      </c>
      <c r="G74" s="25"/>
      <c r="H74" s="177">
        <v>2021639.05</v>
      </c>
      <c r="I74" s="25"/>
      <c r="J74" s="177">
        <v>200267.13</v>
      </c>
      <c r="K74" s="25">
        <f t="shared" si="1"/>
        <v>200267.13</v>
      </c>
    </row>
    <row r="75" spans="1:11" ht="15.95" customHeight="1" x14ac:dyDescent="0.2">
      <c r="A75" s="156" t="s">
        <v>167</v>
      </c>
      <c r="B75" s="369" t="s">
        <v>168</v>
      </c>
      <c r="C75" s="370"/>
      <c r="D75" s="370"/>
      <c r="E75" s="177">
        <v>0</v>
      </c>
      <c r="F75" s="177">
        <v>1997947.86</v>
      </c>
      <c r="G75" s="25"/>
      <c r="H75" s="177">
        <v>1798785.7</v>
      </c>
      <c r="I75" s="25"/>
      <c r="J75" s="177">
        <v>199162.16</v>
      </c>
      <c r="K75" s="25">
        <f t="shared" si="1"/>
        <v>199162.16</v>
      </c>
    </row>
    <row r="76" spans="1:11" ht="15.95" customHeight="1" x14ac:dyDescent="0.2">
      <c r="A76" s="156" t="s">
        <v>169</v>
      </c>
      <c r="B76" s="369" t="s">
        <v>170</v>
      </c>
      <c r="C76" s="370"/>
      <c r="D76" s="370"/>
      <c r="E76" s="177">
        <v>0</v>
      </c>
      <c r="F76" s="177">
        <v>205803.66</v>
      </c>
      <c r="G76" s="25"/>
      <c r="H76" s="177">
        <v>204698.69</v>
      </c>
      <c r="I76" s="25"/>
      <c r="J76" s="177">
        <v>1104.97</v>
      </c>
      <c r="K76" s="25">
        <f t="shared" si="1"/>
        <v>1104.97</v>
      </c>
    </row>
    <row r="77" spans="1:11" ht="15.95" customHeight="1" x14ac:dyDescent="0.2">
      <c r="A77" s="156" t="s">
        <v>171</v>
      </c>
      <c r="B77" s="369" t="s">
        <v>172</v>
      </c>
      <c r="C77" s="370"/>
      <c r="D77" s="370"/>
      <c r="E77" s="177">
        <v>0</v>
      </c>
      <c r="F77" s="177">
        <v>18154.66</v>
      </c>
      <c r="G77" s="25"/>
      <c r="H77" s="177">
        <v>18154.66</v>
      </c>
      <c r="I77" s="25"/>
      <c r="J77" s="177">
        <v>0</v>
      </c>
      <c r="K77" s="25">
        <f t="shared" si="1"/>
        <v>0</v>
      </c>
    </row>
    <row r="78" spans="1:11" ht="15.95" customHeight="1" x14ac:dyDescent="0.2">
      <c r="A78" s="158">
        <v>114</v>
      </c>
      <c r="B78" s="371" t="s">
        <v>173</v>
      </c>
      <c r="C78" s="372"/>
      <c r="D78" s="372"/>
      <c r="E78" s="178">
        <v>62095.26</v>
      </c>
      <c r="F78" s="178">
        <v>63824.26</v>
      </c>
      <c r="G78" s="31"/>
      <c r="H78" s="178">
        <v>71606.45</v>
      </c>
      <c r="I78" s="31"/>
      <c r="J78" s="178">
        <v>54313.07</v>
      </c>
      <c r="K78" s="31">
        <f t="shared" si="1"/>
        <v>-7782.1900000000023</v>
      </c>
    </row>
    <row r="79" spans="1:11" ht="15.95" customHeight="1" x14ac:dyDescent="0.2">
      <c r="A79" s="156">
        <v>11401</v>
      </c>
      <c r="B79" s="369" t="s">
        <v>174</v>
      </c>
      <c r="C79" s="370"/>
      <c r="D79" s="370"/>
      <c r="E79" s="177">
        <v>62095.26</v>
      </c>
      <c r="F79" s="177">
        <v>63824.26</v>
      </c>
      <c r="G79" s="25"/>
      <c r="H79" s="177">
        <v>71606.45</v>
      </c>
      <c r="I79" s="25"/>
      <c r="J79" s="177">
        <v>54313.07</v>
      </c>
      <c r="K79" s="25">
        <f t="shared" si="1"/>
        <v>-7782.1900000000023</v>
      </c>
    </row>
    <row r="80" spans="1:11" ht="15.95" customHeight="1" x14ac:dyDescent="0.2">
      <c r="A80" s="156">
        <v>1140101</v>
      </c>
      <c r="B80" s="369" t="s">
        <v>175</v>
      </c>
      <c r="C80" s="370"/>
      <c r="D80" s="370"/>
      <c r="E80" s="177">
        <v>8062.65</v>
      </c>
      <c r="F80" s="177">
        <v>0</v>
      </c>
      <c r="G80" s="25"/>
      <c r="H80" s="177">
        <v>9.4499999999999993</v>
      </c>
      <c r="I80" s="25"/>
      <c r="J80" s="177">
        <v>8053.2</v>
      </c>
      <c r="K80" s="25">
        <f t="shared" si="1"/>
        <v>-9.4499999999998181</v>
      </c>
    </row>
    <row r="81" spans="1:11" ht="15.95" customHeight="1" x14ac:dyDescent="0.2">
      <c r="A81" s="156" t="s">
        <v>176</v>
      </c>
      <c r="B81" s="369" t="s">
        <v>177</v>
      </c>
      <c r="C81" s="370"/>
      <c r="D81" s="370"/>
      <c r="E81" s="177">
        <v>2400</v>
      </c>
      <c r="F81" s="177">
        <v>0</v>
      </c>
      <c r="G81" s="25"/>
      <c r="H81" s="177">
        <v>0</v>
      </c>
      <c r="I81" s="25"/>
      <c r="J81" s="177">
        <v>2400</v>
      </c>
      <c r="K81" s="25">
        <f t="shared" si="1"/>
        <v>0</v>
      </c>
    </row>
    <row r="82" spans="1:11" ht="15.95" customHeight="1" x14ac:dyDescent="0.2">
      <c r="A82" s="156" t="s">
        <v>178</v>
      </c>
      <c r="B82" s="369" t="s">
        <v>179</v>
      </c>
      <c r="C82" s="370"/>
      <c r="D82" s="370"/>
      <c r="E82" s="177">
        <v>5662.65</v>
      </c>
      <c r="F82" s="177">
        <v>0</v>
      </c>
      <c r="G82" s="25"/>
      <c r="H82" s="177">
        <v>9.4499999999999993</v>
      </c>
      <c r="I82" s="25"/>
      <c r="J82" s="177">
        <v>5653.2</v>
      </c>
      <c r="K82" s="25">
        <f t="shared" si="1"/>
        <v>-9.4499999999998181</v>
      </c>
    </row>
    <row r="83" spans="1:11" ht="15.95" customHeight="1" x14ac:dyDescent="0.2">
      <c r="A83" s="156">
        <v>1140102</v>
      </c>
      <c r="B83" s="369" t="s">
        <v>180</v>
      </c>
      <c r="C83" s="370"/>
      <c r="D83" s="370"/>
      <c r="E83" s="177">
        <v>54032.61</v>
      </c>
      <c r="F83" s="177">
        <v>63824.26</v>
      </c>
      <c r="G83" s="25"/>
      <c r="H83" s="177">
        <v>71597</v>
      </c>
      <c r="I83" s="25"/>
      <c r="J83" s="177">
        <v>46259.87</v>
      </c>
      <c r="K83" s="25">
        <f t="shared" si="1"/>
        <v>-7772.739999999998</v>
      </c>
    </row>
    <row r="84" spans="1:11" ht="15.95" customHeight="1" x14ac:dyDescent="0.2">
      <c r="A84" s="156" t="s">
        <v>181</v>
      </c>
      <c r="B84" s="369" t="s">
        <v>182</v>
      </c>
      <c r="C84" s="370"/>
      <c r="D84" s="370"/>
      <c r="E84" s="177">
        <v>29148.080000000002</v>
      </c>
      <c r="F84" s="177">
        <v>18210.310000000001</v>
      </c>
      <c r="G84" s="25"/>
      <c r="H84" s="177">
        <v>22260.240000000002</v>
      </c>
      <c r="I84" s="25"/>
      <c r="J84" s="177">
        <v>25098.15</v>
      </c>
      <c r="K84" s="25">
        <f t="shared" si="1"/>
        <v>-4049.9300000000003</v>
      </c>
    </row>
    <row r="85" spans="1:11" ht="15.95" customHeight="1" x14ac:dyDescent="0.2">
      <c r="A85" s="156" t="s">
        <v>183</v>
      </c>
      <c r="B85" s="369" t="s">
        <v>184</v>
      </c>
      <c r="C85" s="370"/>
      <c r="D85" s="370"/>
      <c r="E85" s="177">
        <v>1987.3</v>
      </c>
      <c r="F85" s="177">
        <v>15333.15</v>
      </c>
      <c r="G85" s="25"/>
      <c r="H85" s="177">
        <v>17320.45</v>
      </c>
      <c r="I85" s="25"/>
      <c r="J85" s="177">
        <v>0</v>
      </c>
      <c r="K85" s="25">
        <f t="shared" si="1"/>
        <v>-1987.3</v>
      </c>
    </row>
    <row r="86" spans="1:11" ht="15.95" customHeight="1" x14ac:dyDescent="0.2">
      <c r="A86" s="156" t="s">
        <v>185</v>
      </c>
      <c r="B86" s="369" t="s">
        <v>186</v>
      </c>
      <c r="C86" s="370"/>
      <c r="D86" s="370"/>
      <c r="E86" s="177">
        <v>1559.1</v>
      </c>
      <c r="F86" s="177">
        <v>7562.8</v>
      </c>
      <c r="G86" s="25"/>
      <c r="H86" s="177">
        <v>4024.45</v>
      </c>
      <c r="I86" s="25"/>
      <c r="J86" s="177">
        <v>5097.45</v>
      </c>
      <c r="K86" s="25">
        <f t="shared" si="1"/>
        <v>3538.35</v>
      </c>
    </row>
    <row r="87" spans="1:11" ht="15.95" customHeight="1" x14ac:dyDescent="0.2">
      <c r="A87" s="156" t="s">
        <v>187</v>
      </c>
      <c r="B87" s="369" t="s">
        <v>188</v>
      </c>
      <c r="C87" s="370"/>
      <c r="D87" s="370"/>
      <c r="E87" s="177">
        <v>219.3</v>
      </c>
      <c r="F87" s="177">
        <v>2628</v>
      </c>
      <c r="G87" s="25"/>
      <c r="H87" s="177">
        <v>1971.24</v>
      </c>
      <c r="I87" s="25"/>
      <c r="J87" s="177">
        <v>876.06</v>
      </c>
      <c r="K87" s="25">
        <f t="shared" si="1"/>
        <v>656.76</v>
      </c>
    </row>
    <row r="88" spans="1:11" ht="15.95" customHeight="1" x14ac:dyDescent="0.2">
      <c r="A88" s="156" t="s">
        <v>189</v>
      </c>
      <c r="B88" s="369" t="s">
        <v>190</v>
      </c>
      <c r="C88" s="370"/>
      <c r="D88" s="370"/>
      <c r="E88" s="177">
        <v>7931.61</v>
      </c>
      <c r="F88" s="177">
        <v>6550</v>
      </c>
      <c r="G88" s="25"/>
      <c r="H88" s="177">
        <v>9170.92</v>
      </c>
      <c r="I88" s="25"/>
      <c r="J88" s="177">
        <v>5310.69</v>
      </c>
      <c r="K88" s="25">
        <f t="shared" si="1"/>
        <v>-2620.92</v>
      </c>
    </row>
    <row r="89" spans="1:11" ht="15.95" customHeight="1" x14ac:dyDescent="0.2">
      <c r="A89" s="156" t="s">
        <v>191</v>
      </c>
      <c r="B89" s="369" t="s">
        <v>192</v>
      </c>
      <c r="C89" s="370"/>
      <c r="D89" s="370"/>
      <c r="E89" s="177">
        <v>763.13</v>
      </c>
      <c r="F89" s="177">
        <v>12200</v>
      </c>
      <c r="G89" s="25"/>
      <c r="H89" s="177">
        <v>12241.69</v>
      </c>
      <c r="I89" s="25"/>
      <c r="J89" s="177">
        <v>721.44</v>
      </c>
      <c r="K89" s="25">
        <f t="shared" si="1"/>
        <v>-41.689999999999941</v>
      </c>
    </row>
    <row r="90" spans="1:11" ht="15.95" customHeight="1" x14ac:dyDescent="0.2">
      <c r="A90" s="156" t="s">
        <v>193</v>
      </c>
      <c r="B90" s="369" t="s">
        <v>194</v>
      </c>
      <c r="C90" s="370"/>
      <c r="D90" s="370"/>
      <c r="E90" s="177">
        <v>8309.81</v>
      </c>
      <c r="F90" s="177">
        <v>1340</v>
      </c>
      <c r="G90" s="25"/>
      <c r="H90" s="177">
        <v>2550.87</v>
      </c>
      <c r="I90" s="25"/>
      <c r="J90" s="177">
        <v>7098.94</v>
      </c>
      <c r="K90" s="25">
        <f t="shared" si="1"/>
        <v>-1210.8699999999999</v>
      </c>
    </row>
    <row r="91" spans="1:11" ht="15.95" customHeight="1" x14ac:dyDescent="0.2">
      <c r="A91" s="156" t="s">
        <v>195</v>
      </c>
      <c r="B91" s="369" t="s">
        <v>196</v>
      </c>
      <c r="C91" s="370"/>
      <c r="D91" s="370"/>
      <c r="E91" s="177">
        <v>4114.28</v>
      </c>
      <c r="F91" s="177">
        <v>0</v>
      </c>
      <c r="G91" s="25"/>
      <c r="H91" s="177">
        <v>2057.14</v>
      </c>
      <c r="I91" s="25"/>
      <c r="J91" s="177">
        <v>2057.14</v>
      </c>
      <c r="K91" s="25">
        <f t="shared" si="1"/>
        <v>-2057.14</v>
      </c>
    </row>
    <row r="92" spans="1:11" ht="15.95" customHeight="1" x14ac:dyDescent="0.2">
      <c r="A92" s="158">
        <v>117</v>
      </c>
      <c r="B92" s="371" t="s">
        <v>197</v>
      </c>
      <c r="C92" s="372"/>
      <c r="D92" s="372"/>
      <c r="E92" s="178">
        <v>225166.97</v>
      </c>
      <c r="F92" s="178">
        <v>183867</v>
      </c>
      <c r="G92" s="31"/>
      <c r="H92" s="178">
        <v>273185.78999999998</v>
      </c>
      <c r="I92" s="31"/>
      <c r="J92" s="178">
        <v>135848.18</v>
      </c>
      <c r="K92" s="31">
        <f t="shared" si="1"/>
        <v>-89318.790000000008</v>
      </c>
    </row>
    <row r="93" spans="1:11" ht="15.95" customHeight="1" x14ac:dyDescent="0.2">
      <c r="A93" s="156">
        <v>11701</v>
      </c>
      <c r="B93" s="369" t="s">
        <v>197</v>
      </c>
      <c r="C93" s="370"/>
      <c r="D93" s="370"/>
      <c r="E93" s="177">
        <v>225166.97</v>
      </c>
      <c r="F93" s="177">
        <v>183867</v>
      </c>
      <c r="G93" s="25"/>
      <c r="H93" s="177">
        <v>273185.78999999998</v>
      </c>
      <c r="I93" s="25"/>
      <c r="J93" s="177">
        <v>135848.18</v>
      </c>
      <c r="K93" s="25">
        <f t="shared" si="1"/>
        <v>-89318.790000000008</v>
      </c>
    </row>
    <row r="94" spans="1:11" ht="15.95" customHeight="1" x14ac:dyDescent="0.2">
      <c r="A94" s="156">
        <v>1170101</v>
      </c>
      <c r="B94" s="369" t="s">
        <v>198</v>
      </c>
      <c r="C94" s="370"/>
      <c r="D94" s="370"/>
      <c r="E94" s="177">
        <v>204192.07</v>
      </c>
      <c r="F94" s="177">
        <v>163997.75</v>
      </c>
      <c r="G94" s="25"/>
      <c r="H94" s="177">
        <v>243108.96</v>
      </c>
      <c r="I94" s="25"/>
      <c r="J94" s="177">
        <v>125080.86</v>
      </c>
      <c r="K94" s="25">
        <f t="shared" si="1"/>
        <v>-79111.210000000006</v>
      </c>
    </row>
    <row r="95" spans="1:11" ht="15.95" customHeight="1" x14ac:dyDescent="0.2">
      <c r="A95" s="156" t="s">
        <v>199</v>
      </c>
      <c r="B95" s="369" t="s">
        <v>200</v>
      </c>
      <c r="C95" s="370"/>
      <c r="D95" s="370"/>
      <c r="E95" s="177">
        <v>157490.66</v>
      </c>
      <c r="F95" s="177">
        <v>0</v>
      </c>
      <c r="G95" s="25"/>
      <c r="H95" s="177">
        <v>141741.63</v>
      </c>
      <c r="I95" s="25"/>
      <c r="J95" s="177">
        <v>15749.03</v>
      </c>
      <c r="K95" s="25">
        <f t="shared" si="1"/>
        <v>-141741.63</v>
      </c>
    </row>
    <row r="96" spans="1:11" ht="15.95" customHeight="1" x14ac:dyDescent="0.2">
      <c r="A96" s="156" t="s">
        <v>201</v>
      </c>
      <c r="B96" s="369" t="s">
        <v>202</v>
      </c>
      <c r="C96" s="370"/>
      <c r="D96" s="370"/>
      <c r="E96" s="177">
        <v>46701.41</v>
      </c>
      <c r="F96" s="177">
        <v>163997.75</v>
      </c>
      <c r="G96" s="25"/>
      <c r="H96" s="177">
        <v>101367.33</v>
      </c>
      <c r="I96" s="25"/>
      <c r="J96" s="177">
        <v>109331.83</v>
      </c>
      <c r="K96" s="25">
        <f t="shared" si="1"/>
        <v>62630.42</v>
      </c>
    </row>
    <row r="97" spans="1:11" ht="15.95" customHeight="1" x14ac:dyDescent="0.2">
      <c r="A97" s="156">
        <v>1170102</v>
      </c>
      <c r="B97" s="369" t="s">
        <v>203</v>
      </c>
      <c r="C97" s="370"/>
      <c r="D97" s="370"/>
      <c r="E97" s="177">
        <v>20974.9</v>
      </c>
      <c r="F97" s="177">
        <v>8700</v>
      </c>
      <c r="G97" s="25"/>
      <c r="H97" s="177">
        <v>21699.9</v>
      </c>
      <c r="I97" s="25"/>
      <c r="J97" s="177">
        <v>7975</v>
      </c>
      <c r="K97" s="25">
        <f t="shared" si="1"/>
        <v>-12999.900000000001</v>
      </c>
    </row>
    <row r="98" spans="1:11" ht="15.95" customHeight="1" x14ac:dyDescent="0.2">
      <c r="A98" s="156" t="s">
        <v>204</v>
      </c>
      <c r="B98" s="369" t="s">
        <v>205</v>
      </c>
      <c r="C98" s="370"/>
      <c r="D98" s="370"/>
      <c r="E98" s="177">
        <v>20974.9</v>
      </c>
      <c r="F98" s="177">
        <v>8700</v>
      </c>
      <c r="G98" s="25"/>
      <c r="H98" s="177">
        <v>21699.9</v>
      </c>
      <c r="I98" s="25"/>
      <c r="J98" s="177">
        <v>7975</v>
      </c>
      <c r="K98" s="25">
        <f t="shared" si="1"/>
        <v>-12999.900000000001</v>
      </c>
    </row>
    <row r="99" spans="1:11" ht="15.95" customHeight="1" x14ac:dyDescent="0.2">
      <c r="A99" s="156">
        <v>1170103</v>
      </c>
      <c r="B99" s="369" t="s">
        <v>206</v>
      </c>
      <c r="C99" s="370"/>
      <c r="D99" s="370"/>
      <c r="E99" s="177">
        <v>0</v>
      </c>
      <c r="F99" s="177">
        <v>11169.25</v>
      </c>
      <c r="G99" s="25"/>
      <c r="H99" s="177">
        <v>8376.93</v>
      </c>
      <c r="I99" s="25"/>
      <c r="J99" s="177">
        <v>2792.32</v>
      </c>
      <c r="K99" s="25">
        <f t="shared" si="1"/>
        <v>2792.32</v>
      </c>
    </row>
    <row r="100" spans="1:11" ht="15.95" customHeight="1" x14ac:dyDescent="0.2">
      <c r="A100" s="156" t="s">
        <v>207</v>
      </c>
      <c r="B100" s="369" t="s">
        <v>208</v>
      </c>
      <c r="C100" s="370"/>
      <c r="D100" s="370"/>
      <c r="E100" s="177">
        <v>0</v>
      </c>
      <c r="F100" s="177">
        <v>11169.25</v>
      </c>
      <c r="G100" s="25"/>
      <c r="H100" s="177">
        <v>8376.93</v>
      </c>
      <c r="I100" s="25"/>
      <c r="J100" s="177">
        <v>2792.32</v>
      </c>
      <c r="K100" s="25">
        <f t="shared" si="1"/>
        <v>2792.32</v>
      </c>
    </row>
    <row r="101" spans="1:11" ht="15.95" customHeight="1" x14ac:dyDescent="0.2">
      <c r="A101" s="156">
        <v>12</v>
      </c>
      <c r="B101" s="369" t="s">
        <v>209</v>
      </c>
      <c r="C101" s="370"/>
      <c r="D101" s="370"/>
      <c r="E101" s="177">
        <v>303215538.41000003</v>
      </c>
      <c r="F101" s="177">
        <v>1117640.19</v>
      </c>
      <c r="G101" s="25"/>
      <c r="H101" s="177">
        <v>12138934.58</v>
      </c>
      <c r="I101" s="25"/>
      <c r="J101" s="177">
        <v>292194244.01999998</v>
      </c>
      <c r="K101" s="25">
        <f t="shared" si="1"/>
        <v>-11021294.390000045</v>
      </c>
    </row>
    <row r="102" spans="1:11" ht="15.95" customHeight="1" x14ac:dyDescent="0.2">
      <c r="A102" s="156">
        <v>121</v>
      </c>
      <c r="B102" s="369" t="s">
        <v>210</v>
      </c>
      <c r="C102" s="370"/>
      <c r="D102" s="370"/>
      <c r="E102" s="177">
        <v>604732.11</v>
      </c>
      <c r="F102" s="177">
        <v>219702.17</v>
      </c>
      <c r="G102" s="25"/>
      <c r="H102" s="177">
        <v>91738.92</v>
      </c>
      <c r="I102" s="25"/>
      <c r="J102" s="177">
        <v>732695.36</v>
      </c>
      <c r="K102" s="25">
        <f t="shared" si="1"/>
        <v>127963.25</v>
      </c>
    </row>
    <row r="103" spans="1:11" ht="15.95" customHeight="1" x14ac:dyDescent="0.2">
      <c r="A103" s="158">
        <v>12101</v>
      </c>
      <c r="B103" s="371" t="s">
        <v>211</v>
      </c>
      <c r="C103" s="372"/>
      <c r="D103" s="372"/>
      <c r="E103" s="178">
        <v>531344.64000000001</v>
      </c>
      <c r="F103" s="178">
        <v>219702.17</v>
      </c>
      <c r="G103" s="31"/>
      <c r="H103" s="178">
        <v>91738.92</v>
      </c>
      <c r="I103" s="31"/>
      <c r="J103" s="178">
        <v>659307.89</v>
      </c>
      <c r="K103" s="31">
        <f t="shared" si="1"/>
        <v>127963.25</v>
      </c>
    </row>
    <row r="104" spans="1:11" ht="15.95" customHeight="1" x14ac:dyDescent="0.2">
      <c r="A104" s="156">
        <v>1210101</v>
      </c>
      <c r="B104" s="369" t="s">
        <v>212</v>
      </c>
      <c r="C104" s="370"/>
      <c r="D104" s="370"/>
      <c r="E104" s="177">
        <v>326962.06</v>
      </c>
      <c r="F104" s="177">
        <v>98998.02</v>
      </c>
      <c r="G104" s="25"/>
      <c r="H104" s="177">
        <v>0</v>
      </c>
      <c r="I104" s="25"/>
      <c r="J104" s="177">
        <v>425960.08</v>
      </c>
      <c r="K104" s="25">
        <f t="shared" si="1"/>
        <v>98998.020000000019</v>
      </c>
    </row>
    <row r="105" spans="1:11" ht="15.95" customHeight="1" x14ac:dyDescent="0.2">
      <c r="A105" s="156" t="s">
        <v>213</v>
      </c>
      <c r="B105" s="369" t="s">
        <v>214</v>
      </c>
      <c r="C105" s="370"/>
      <c r="D105" s="370"/>
      <c r="E105" s="177">
        <v>16601.04</v>
      </c>
      <c r="F105" s="177">
        <v>0</v>
      </c>
      <c r="G105" s="25"/>
      <c r="H105" s="177">
        <v>0</v>
      </c>
      <c r="I105" s="25"/>
      <c r="J105" s="177">
        <v>16601.04</v>
      </c>
      <c r="K105" s="25">
        <f t="shared" si="1"/>
        <v>0</v>
      </c>
    </row>
    <row r="106" spans="1:11" ht="15.95" customHeight="1" x14ac:dyDescent="0.2">
      <c r="A106" s="156" t="s">
        <v>215</v>
      </c>
      <c r="B106" s="369" t="s">
        <v>216</v>
      </c>
      <c r="C106" s="370"/>
      <c r="D106" s="370"/>
      <c r="E106" s="177">
        <v>8183.06</v>
      </c>
      <c r="F106" s="177">
        <v>0</v>
      </c>
      <c r="G106" s="25"/>
      <c r="H106" s="177">
        <v>0</v>
      </c>
      <c r="I106" s="25"/>
      <c r="J106" s="177">
        <v>8183.06</v>
      </c>
      <c r="K106" s="25">
        <f t="shared" si="1"/>
        <v>0</v>
      </c>
    </row>
    <row r="107" spans="1:11" ht="15.95" customHeight="1" x14ac:dyDescent="0.2">
      <c r="A107" s="156" t="s">
        <v>217</v>
      </c>
      <c r="B107" s="369" t="s">
        <v>218</v>
      </c>
      <c r="C107" s="370"/>
      <c r="D107" s="370"/>
      <c r="E107" s="177">
        <v>37499.11</v>
      </c>
      <c r="F107" s="177">
        <v>0</v>
      </c>
      <c r="G107" s="25"/>
      <c r="H107" s="177">
        <v>0</v>
      </c>
      <c r="I107" s="25"/>
      <c r="J107" s="177">
        <v>37499.11</v>
      </c>
      <c r="K107" s="25">
        <f t="shared" si="1"/>
        <v>0</v>
      </c>
    </row>
    <row r="108" spans="1:11" ht="15.95" customHeight="1" x14ac:dyDescent="0.2">
      <c r="A108" s="156" t="s">
        <v>219</v>
      </c>
      <c r="B108" s="369" t="s">
        <v>220</v>
      </c>
      <c r="C108" s="370"/>
      <c r="D108" s="370"/>
      <c r="E108" s="177">
        <v>30341.45</v>
      </c>
      <c r="F108" s="177">
        <v>19678.02</v>
      </c>
      <c r="G108" s="25"/>
      <c r="H108" s="177">
        <v>0</v>
      </c>
      <c r="I108" s="25"/>
      <c r="J108" s="177">
        <v>50019.47</v>
      </c>
      <c r="K108" s="25">
        <f t="shared" si="1"/>
        <v>19678.02</v>
      </c>
    </row>
    <row r="109" spans="1:11" ht="15.95" customHeight="1" x14ac:dyDescent="0.2">
      <c r="A109" s="156" t="s">
        <v>221</v>
      </c>
      <c r="B109" s="369" t="s">
        <v>222</v>
      </c>
      <c r="C109" s="370"/>
      <c r="D109" s="370"/>
      <c r="E109" s="177">
        <v>24689.43</v>
      </c>
      <c r="F109" s="177">
        <v>0</v>
      </c>
      <c r="G109" s="25"/>
      <c r="H109" s="177">
        <v>0</v>
      </c>
      <c r="I109" s="25"/>
      <c r="J109" s="177">
        <v>24689.43</v>
      </c>
      <c r="K109" s="25">
        <f t="shared" si="1"/>
        <v>0</v>
      </c>
    </row>
    <row r="110" spans="1:11" ht="27.95" customHeight="1" x14ac:dyDescent="0.2">
      <c r="A110" s="156" t="s">
        <v>223</v>
      </c>
      <c r="B110" s="369" t="s">
        <v>224</v>
      </c>
      <c r="C110" s="370"/>
      <c r="D110" s="370"/>
      <c r="E110" s="177">
        <v>3727.97</v>
      </c>
      <c r="F110" s="177">
        <v>0</v>
      </c>
      <c r="G110" s="25"/>
      <c r="H110" s="177">
        <v>0</v>
      </c>
      <c r="I110" s="25"/>
      <c r="J110" s="177">
        <v>3727.97</v>
      </c>
      <c r="K110" s="25">
        <f t="shared" si="1"/>
        <v>0</v>
      </c>
    </row>
    <row r="111" spans="1:11" ht="15.95" customHeight="1" x14ac:dyDescent="0.2">
      <c r="A111" s="156" t="s">
        <v>225</v>
      </c>
      <c r="B111" s="369" t="s">
        <v>226</v>
      </c>
      <c r="C111" s="370"/>
      <c r="D111" s="370"/>
      <c r="E111" s="177">
        <v>9189</v>
      </c>
      <c r="F111" s="177">
        <v>0</v>
      </c>
      <c r="G111" s="25"/>
      <c r="H111" s="177">
        <v>0</v>
      </c>
      <c r="I111" s="25"/>
      <c r="J111" s="177">
        <v>9189</v>
      </c>
      <c r="K111" s="25">
        <f t="shared" si="1"/>
        <v>0</v>
      </c>
    </row>
    <row r="112" spans="1:11" ht="15.95" customHeight="1" x14ac:dyDescent="0.2">
      <c r="A112" s="156" t="s">
        <v>227</v>
      </c>
      <c r="B112" s="369" t="s">
        <v>228</v>
      </c>
      <c r="C112" s="370"/>
      <c r="D112" s="370"/>
      <c r="E112" s="177">
        <v>38043.83</v>
      </c>
      <c r="F112" s="177">
        <v>0</v>
      </c>
      <c r="G112" s="25"/>
      <c r="H112" s="177">
        <v>0</v>
      </c>
      <c r="I112" s="25"/>
      <c r="J112" s="177">
        <v>38043.83</v>
      </c>
      <c r="K112" s="25">
        <f t="shared" si="1"/>
        <v>0</v>
      </c>
    </row>
    <row r="113" spans="1:11" ht="15.95" customHeight="1" x14ac:dyDescent="0.2">
      <c r="A113" s="156" t="s">
        <v>229</v>
      </c>
      <c r="B113" s="369" t="s">
        <v>230</v>
      </c>
      <c r="C113" s="370"/>
      <c r="D113" s="370"/>
      <c r="E113" s="177">
        <v>37728.480000000003</v>
      </c>
      <c r="F113" s="177">
        <v>0</v>
      </c>
      <c r="G113" s="25"/>
      <c r="H113" s="177">
        <v>0</v>
      </c>
      <c r="I113" s="25"/>
      <c r="J113" s="177">
        <v>37728.480000000003</v>
      </c>
      <c r="K113" s="25">
        <f t="shared" si="1"/>
        <v>0</v>
      </c>
    </row>
    <row r="114" spans="1:11" ht="15.95" customHeight="1" x14ac:dyDescent="0.2">
      <c r="A114" s="156" t="s">
        <v>231</v>
      </c>
      <c r="B114" s="369" t="s">
        <v>232</v>
      </c>
      <c r="C114" s="370"/>
      <c r="D114" s="370"/>
      <c r="E114" s="177">
        <v>6000</v>
      </c>
      <c r="F114" s="177">
        <v>0</v>
      </c>
      <c r="G114" s="25"/>
      <c r="H114" s="177">
        <v>0</v>
      </c>
      <c r="I114" s="25"/>
      <c r="J114" s="177">
        <v>6000</v>
      </c>
      <c r="K114" s="25">
        <f t="shared" si="1"/>
        <v>0</v>
      </c>
    </row>
    <row r="115" spans="1:11" ht="15.95" customHeight="1" x14ac:dyDescent="0.2">
      <c r="A115" s="156" t="s">
        <v>233</v>
      </c>
      <c r="B115" s="369" t="s">
        <v>234</v>
      </c>
      <c r="C115" s="370"/>
      <c r="D115" s="370"/>
      <c r="E115" s="177">
        <v>16175.6</v>
      </c>
      <c r="F115" s="177">
        <v>0</v>
      </c>
      <c r="G115" s="25"/>
      <c r="H115" s="177">
        <v>0</v>
      </c>
      <c r="I115" s="25"/>
      <c r="J115" s="177">
        <v>16175.6</v>
      </c>
      <c r="K115" s="25">
        <f t="shared" si="1"/>
        <v>0</v>
      </c>
    </row>
    <row r="116" spans="1:11" ht="15.95" customHeight="1" x14ac:dyDescent="0.2">
      <c r="A116" s="156" t="s">
        <v>235</v>
      </c>
      <c r="B116" s="369" t="s">
        <v>236</v>
      </c>
      <c r="C116" s="370"/>
      <c r="D116" s="370"/>
      <c r="E116" s="177">
        <v>9189</v>
      </c>
      <c r="F116" s="177">
        <v>19657.02</v>
      </c>
      <c r="G116" s="25"/>
      <c r="H116" s="177">
        <v>0</v>
      </c>
      <c r="I116" s="25"/>
      <c r="J116" s="177">
        <v>28846.02</v>
      </c>
      <c r="K116" s="25">
        <f t="shared" si="1"/>
        <v>19657.02</v>
      </c>
    </row>
    <row r="117" spans="1:11" ht="15.95" customHeight="1" x14ac:dyDescent="0.2">
      <c r="A117" s="156" t="s">
        <v>237</v>
      </c>
      <c r="B117" s="369" t="s">
        <v>238</v>
      </c>
      <c r="C117" s="370"/>
      <c r="D117" s="370"/>
      <c r="E117" s="177">
        <v>9189</v>
      </c>
      <c r="F117" s="177">
        <v>20118.3</v>
      </c>
      <c r="G117" s="25"/>
      <c r="H117" s="177">
        <v>0</v>
      </c>
      <c r="I117" s="25"/>
      <c r="J117" s="177">
        <v>29307.3</v>
      </c>
      <c r="K117" s="25">
        <f t="shared" si="1"/>
        <v>20118.3</v>
      </c>
    </row>
    <row r="118" spans="1:11" ht="15.95" customHeight="1" x14ac:dyDescent="0.2">
      <c r="A118" s="156" t="s">
        <v>239</v>
      </c>
      <c r="B118" s="369" t="s">
        <v>240</v>
      </c>
      <c r="C118" s="370"/>
      <c r="D118" s="370"/>
      <c r="E118" s="177">
        <v>10000</v>
      </c>
      <c r="F118" s="177">
        <v>0</v>
      </c>
      <c r="G118" s="25"/>
      <c r="H118" s="177">
        <v>0</v>
      </c>
      <c r="I118" s="25"/>
      <c r="J118" s="177">
        <v>10000</v>
      </c>
      <c r="K118" s="25">
        <f t="shared" si="1"/>
        <v>0</v>
      </c>
    </row>
    <row r="119" spans="1:11" ht="15.95" customHeight="1" x14ac:dyDescent="0.2">
      <c r="A119" s="156" t="s">
        <v>241</v>
      </c>
      <c r="B119" s="369" t="s">
        <v>242</v>
      </c>
      <c r="C119" s="370"/>
      <c r="D119" s="370"/>
      <c r="E119" s="177">
        <v>2236.2199999999998</v>
      </c>
      <c r="F119" s="177">
        <v>0</v>
      </c>
      <c r="G119" s="25"/>
      <c r="H119" s="177">
        <v>0</v>
      </c>
      <c r="I119" s="25"/>
      <c r="J119" s="177">
        <v>2236.2199999999998</v>
      </c>
      <c r="K119" s="25">
        <f t="shared" si="1"/>
        <v>0</v>
      </c>
    </row>
    <row r="120" spans="1:11" ht="15.95" customHeight="1" x14ac:dyDescent="0.2">
      <c r="A120" s="156" t="s">
        <v>243</v>
      </c>
      <c r="B120" s="369" t="s">
        <v>244</v>
      </c>
      <c r="C120" s="370"/>
      <c r="D120" s="370"/>
      <c r="E120" s="177">
        <v>9828.51</v>
      </c>
      <c r="F120" s="177">
        <v>0</v>
      </c>
      <c r="G120" s="25"/>
      <c r="H120" s="177">
        <v>0</v>
      </c>
      <c r="I120" s="25"/>
      <c r="J120" s="177">
        <v>9828.51</v>
      </c>
      <c r="K120" s="25">
        <f t="shared" si="1"/>
        <v>0</v>
      </c>
    </row>
    <row r="121" spans="1:11" ht="15.95" customHeight="1" x14ac:dyDescent="0.2">
      <c r="A121" s="156" t="s">
        <v>245</v>
      </c>
      <c r="B121" s="369" t="s">
        <v>246</v>
      </c>
      <c r="C121" s="370"/>
      <c r="D121" s="370"/>
      <c r="E121" s="177">
        <v>9513.16</v>
      </c>
      <c r="F121" s="177">
        <v>0</v>
      </c>
      <c r="G121" s="25"/>
      <c r="H121" s="177">
        <v>0</v>
      </c>
      <c r="I121" s="25"/>
      <c r="J121" s="177">
        <v>9513.16</v>
      </c>
      <c r="K121" s="25">
        <f t="shared" si="1"/>
        <v>0</v>
      </c>
    </row>
    <row r="122" spans="1:11" ht="15.95" customHeight="1" x14ac:dyDescent="0.2">
      <c r="A122" s="156" t="s">
        <v>247</v>
      </c>
      <c r="B122" s="369" t="s">
        <v>248</v>
      </c>
      <c r="C122" s="370"/>
      <c r="D122" s="370"/>
      <c r="E122" s="177">
        <v>9513.16</v>
      </c>
      <c r="F122" s="177">
        <v>29485.53</v>
      </c>
      <c r="G122" s="25"/>
      <c r="H122" s="177">
        <v>0</v>
      </c>
      <c r="I122" s="25"/>
      <c r="J122" s="177">
        <v>38998.69</v>
      </c>
      <c r="K122" s="25">
        <f t="shared" si="1"/>
        <v>29485.530000000002</v>
      </c>
    </row>
    <row r="123" spans="1:11" ht="15.95" customHeight="1" x14ac:dyDescent="0.2">
      <c r="A123" s="156" t="s">
        <v>249</v>
      </c>
      <c r="B123" s="369" t="s">
        <v>250</v>
      </c>
      <c r="C123" s="370"/>
      <c r="D123" s="370"/>
      <c r="E123" s="177">
        <v>29485.53</v>
      </c>
      <c r="F123" s="177">
        <v>0</v>
      </c>
      <c r="G123" s="25"/>
      <c r="H123" s="177">
        <v>0</v>
      </c>
      <c r="I123" s="25"/>
      <c r="J123" s="177">
        <v>29485.53</v>
      </c>
      <c r="K123" s="25">
        <f t="shared" si="1"/>
        <v>0</v>
      </c>
    </row>
    <row r="124" spans="1:11" ht="15.95" customHeight="1" x14ac:dyDescent="0.2">
      <c r="A124" s="156" t="s">
        <v>251</v>
      </c>
      <c r="B124" s="369" t="s">
        <v>252</v>
      </c>
      <c r="C124" s="370"/>
      <c r="D124" s="370"/>
      <c r="E124" s="177">
        <v>9828.51</v>
      </c>
      <c r="F124" s="177">
        <v>0</v>
      </c>
      <c r="G124" s="25"/>
      <c r="H124" s="177">
        <v>0</v>
      </c>
      <c r="I124" s="25"/>
      <c r="J124" s="177">
        <v>9828.51</v>
      </c>
      <c r="K124" s="25">
        <f t="shared" si="1"/>
        <v>0</v>
      </c>
    </row>
    <row r="125" spans="1:11" ht="15.95" customHeight="1" x14ac:dyDescent="0.2">
      <c r="A125" s="156" t="s">
        <v>1807</v>
      </c>
      <c r="B125" s="369" t="s">
        <v>1808</v>
      </c>
      <c r="C125" s="370"/>
      <c r="D125" s="370"/>
      <c r="E125" s="177">
        <v>0</v>
      </c>
      <c r="F125" s="177">
        <v>10059.15</v>
      </c>
      <c r="G125" s="25"/>
      <c r="H125" s="177">
        <v>0</v>
      </c>
      <c r="I125" s="25"/>
      <c r="J125" s="177">
        <v>10059.15</v>
      </c>
      <c r="K125" s="25">
        <f t="shared" si="1"/>
        <v>10059.15</v>
      </c>
    </row>
    <row r="126" spans="1:11" ht="15.95" customHeight="1" x14ac:dyDescent="0.2">
      <c r="A126" s="156">
        <v>1210102</v>
      </c>
      <c r="B126" s="369" t="s">
        <v>253</v>
      </c>
      <c r="C126" s="370"/>
      <c r="D126" s="370"/>
      <c r="E126" s="177">
        <v>204382.58</v>
      </c>
      <c r="F126" s="177">
        <v>26991.15</v>
      </c>
      <c r="G126" s="25"/>
      <c r="H126" s="177">
        <v>91738.92</v>
      </c>
      <c r="I126" s="25"/>
      <c r="J126" s="177">
        <v>139634.81</v>
      </c>
      <c r="K126" s="25">
        <f t="shared" si="1"/>
        <v>-64747.76999999999</v>
      </c>
    </row>
    <row r="127" spans="1:11" ht="15.95" customHeight="1" x14ac:dyDescent="0.2">
      <c r="A127" s="156" t="s">
        <v>254</v>
      </c>
      <c r="B127" s="369" t="s">
        <v>255</v>
      </c>
      <c r="C127" s="370"/>
      <c r="D127" s="370"/>
      <c r="E127" s="177">
        <v>83470.55</v>
      </c>
      <c r="F127" s="177">
        <v>0</v>
      </c>
      <c r="G127" s="25"/>
      <c r="H127" s="177">
        <v>0</v>
      </c>
      <c r="I127" s="25"/>
      <c r="J127" s="177">
        <v>83470.55</v>
      </c>
      <c r="K127" s="25">
        <f t="shared" si="1"/>
        <v>0</v>
      </c>
    </row>
    <row r="128" spans="1:11" ht="15.95" customHeight="1" x14ac:dyDescent="0.2">
      <c r="A128" s="156" t="s">
        <v>256</v>
      </c>
      <c r="B128" s="369" t="s">
        <v>257</v>
      </c>
      <c r="C128" s="370"/>
      <c r="D128" s="370"/>
      <c r="E128" s="177">
        <v>56164.26</v>
      </c>
      <c r="F128" s="177">
        <v>0</v>
      </c>
      <c r="G128" s="25"/>
      <c r="H128" s="177">
        <v>0</v>
      </c>
      <c r="I128" s="25"/>
      <c r="J128" s="177">
        <v>56164.26</v>
      </c>
      <c r="K128" s="25">
        <f t="shared" si="1"/>
        <v>0</v>
      </c>
    </row>
    <row r="129" spans="1:11" ht="15.95" customHeight="1" x14ac:dyDescent="0.2">
      <c r="A129" s="156" t="s">
        <v>258</v>
      </c>
      <c r="B129" s="369" t="s">
        <v>259</v>
      </c>
      <c r="C129" s="370"/>
      <c r="D129" s="370"/>
      <c r="E129" s="177">
        <v>5948.57</v>
      </c>
      <c r="F129" s="177">
        <v>26991.15</v>
      </c>
      <c r="G129" s="25"/>
      <c r="H129" s="177">
        <v>32939.72</v>
      </c>
      <c r="I129" s="25"/>
      <c r="J129" s="177">
        <v>0</v>
      </c>
      <c r="K129" s="25">
        <f t="shared" si="1"/>
        <v>-5948.57</v>
      </c>
    </row>
    <row r="130" spans="1:11" ht="15.95" customHeight="1" x14ac:dyDescent="0.2">
      <c r="A130" s="156" t="s">
        <v>260</v>
      </c>
      <c r="B130" s="369" t="s">
        <v>261</v>
      </c>
      <c r="C130" s="370"/>
      <c r="D130" s="370"/>
      <c r="E130" s="177">
        <v>2529.92</v>
      </c>
      <c r="F130" s="177">
        <v>0</v>
      </c>
      <c r="G130" s="25"/>
      <c r="H130" s="177">
        <v>2529.92</v>
      </c>
      <c r="I130" s="25"/>
      <c r="J130" s="177">
        <v>0</v>
      </c>
      <c r="K130" s="25">
        <f t="shared" si="1"/>
        <v>-2529.92</v>
      </c>
    </row>
    <row r="131" spans="1:11" ht="15.95" customHeight="1" x14ac:dyDescent="0.2">
      <c r="A131" s="156" t="s">
        <v>262</v>
      </c>
      <c r="B131" s="369" t="s">
        <v>263</v>
      </c>
      <c r="C131" s="370"/>
      <c r="D131" s="370"/>
      <c r="E131" s="177">
        <v>56269.279999999999</v>
      </c>
      <c r="F131" s="177">
        <v>0</v>
      </c>
      <c r="G131" s="25"/>
      <c r="H131" s="177">
        <v>56269.279999999999</v>
      </c>
      <c r="I131" s="25"/>
      <c r="J131" s="177">
        <v>0</v>
      </c>
      <c r="K131" s="25">
        <f t="shared" si="1"/>
        <v>-56269.279999999999</v>
      </c>
    </row>
    <row r="132" spans="1:11" ht="15.95" customHeight="1" x14ac:dyDescent="0.2">
      <c r="A132" s="156">
        <v>1210106</v>
      </c>
      <c r="B132" s="369" t="s">
        <v>264</v>
      </c>
      <c r="C132" s="370"/>
      <c r="D132" s="370"/>
      <c r="E132" s="177">
        <v>0</v>
      </c>
      <c r="F132" s="177">
        <v>93713</v>
      </c>
      <c r="G132" s="25"/>
      <c r="H132" s="177">
        <v>0</v>
      </c>
      <c r="I132" s="25"/>
      <c r="J132" s="177">
        <v>93713</v>
      </c>
      <c r="K132" s="25">
        <f t="shared" ref="K132:K195" si="2">J132-E132</f>
        <v>93713</v>
      </c>
    </row>
    <row r="133" spans="1:11" ht="15.95" customHeight="1" x14ac:dyDescent="0.2">
      <c r="A133" s="156" t="s">
        <v>265</v>
      </c>
      <c r="B133" s="369" t="s">
        <v>266</v>
      </c>
      <c r="C133" s="370"/>
      <c r="D133" s="370"/>
      <c r="E133" s="177">
        <v>0</v>
      </c>
      <c r="F133" s="177">
        <v>93713</v>
      </c>
      <c r="G133" s="25"/>
      <c r="H133" s="177">
        <v>0</v>
      </c>
      <c r="I133" s="25"/>
      <c r="J133" s="177">
        <v>93713</v>
      </c>
      <c r="K133" s="25">
        <f t="shared" si="2"/>
        <v>93713</v>
      </c>
    </row>
    <row r="134" spans="1:11" ht="15.95" customHeight="1" x14ac:dyDescent="0.2">
      <c r="A134" s="158">
        <v>12102</v>
      </c>
      <c r="B134" s="371" t="s">
        <v>96</v>
      </c>
      <c r="C134" s="372"/>
      <c r="D134" s="372"/>
      <c r="E134" s="178">
        <v>73387.47</v>
      </c>
      <c r="F134" s="178">
        <v>0</v>
      </c>
      <c r="G134" s="31"/>
      <c r="H134" s="178">
        <v>0</v>
      </c>
      <c r="I134" s="31"/>
      <c r="J134" s="178">
        <v>73387.47</v>
      </c>
      <c r="K134" s="31">
        <f t="shared" si="2"/>
        <v>0</v>
      </c>
    </row>
    <row r="135" spans="1:11" ht="15.95" customHeight="1" x14ac:dyDescent="0.2">
      <c r="A135" s="156">
        <v>1210201</v>
      </c>
      <c r="B135" s="369" t="s">
        <v>97</v>
      </c>
      <c r="C135" s="370"/>
      <c r="D135" s="370"/>
      <c r="E135" s="177">
        <v>73387.47</v>
      </c>
      <c r="F135" s="177">
        <v>0</v>
      </c>
      <c r="G135" s="25"/>
      <c r="H135" s="177">
        <v>0</v>
      </c>
      <c r="I135" s="25"/>
      <c r="J135" s="177">
        <v>73387.47</v>
      </c>
      <c r="K135" s="25">
        <f t="shared" si="2"/>
        <v>0</v>
      </c>
    </row>
    <row r="136" spans="1:11" ht="15.95" customHeight="1" x14ac:dyDescent="0.2">
      <c r="A136" s="156" t="s">
        <v>267</v>
      </c>
      <c r="B136" s="369" t="s">
        <v>102</v>
      </c>
      <c r="C136" s="370"/>
      <c r="D136" s="370"/>
      <c r="E136" s="177">
        <v>73387.47</v>
      </c>
      <c r="F136" s="177">
        <v>0</v>
      </c>
      <c r="G136" s="25"/>
      <c r="H136" s="177">
        <v>0</v>
      </c>
      <c r="I136" s="25"/>
      <c r="J136" s="177">
        <v>73387.47</v>
      </c>
      <c r="K136" s="25">
        <f t="shared" si="2"/>
        <v>0</v>
      </c>
    </row>
    <row r="137" spans="1:11" ht="15.95" customHeight="1" x14ac:dyDescent="0.2">
      <c r="A137" s="156">
        <v>122</v>
      </c>
      <c r="B137" s="369" t="s">
        <v>268</v>
      </c>
      <c r="C137" s="370"/>
      <c r="D137" s="370"/>
      <c r="E137" s="177">
        <v>12203.91</v>
      </c>
      <c r="F137" s="177">
        <v>0</v>
      </c>
      <c r="G137" s="25"/>
      <c r="H137" s="177">
        <v>0</v>
      </c>
      <c r="I137" s="25"/>
      <c r="J137" s="177">
        <v>12203.91</v>
      </c>
      <c r="K137" s="25">
        <f t="shared" si="2"/>
        <v>0</v>
      </c>
    </row>
    <row r="138" spans="1:11" ht="15.95" customHeight="1" x14ac:dyDescent="0.2">
      <c r="A138" s="156">
        <v>12201</v>
      </c>
      <c r="B138" s="369" t="s">
        <v>268</v>
      </c>
      <c r="C138" s="370"/>
      <c r="D138" s="370"/>
      <c r="E138" s="177">
        <v>12203.91</v>
      </c>
      <c r="F138" s="177">
        <v>0</v>
      </c>
      <c r="G138" s="25"/>
      <c r="H138" s="177">
        <v>0</v>
      </c>
      <c r="I138" s="25"/>
      <c r="J138" s="177">
        <v>12203.91</v>
      </c>
      <c r="K138" s="25">
        <f t="shared" si="2"/>
        <v>0</v>
      </c>
    </row>
    <row r="139" spans="1:11" ht="15.95" customHeight="1" x14ac:dyDescent="0.2">
      <c r="A139" s="156">
        <v>1220105</v>
      </c>
      <c r="B139" s="369" t="s">
        <v>269</v>
      </c>
      <c r="C139" s="370"/>
      <c r="D139" s="370"/>
      <c r="E139" s="177">
        <v>12203.91</v>
      </c>
      <c r="F139" s="177">
        <v>0</v>
      </c>
      <c r="G139" s="25"/>
      <c r="H139" s="177">
        <v>0</v>
      </c>
      <c r="I139" s="25"/>
      <c r="J139" s="177">
        <v>12203.91</v>
      </c>
      <c r="K139" s="25">
        <f t="shared" si="2"/>
        <v>0</v>
      </c>
    </row>
    <row r="140" spans="1:11" ht="15.95" customHeight="1" x14ac:dyDescent="0.2">
      <c r="A140" s="156" t="s">
        <v>270</v>
      </c>
      <c r="B140" s="369" t="s">
        <v>271</v>
      </c>
      <c r="C140" s="370"/>
      <c r="D140" s="370"/>
      <c r="E140" s="177">
        <v>4179.53</v>
      </c>
      <c r="F140" s="177">
        <v>0</v>
      </c>
      <c r="G140" s="25"/>
      <c r="H140" s="177">
        <v>0</v>
      </c>
      <c r="I140" s="25"/>
      <c r="J140" s="177">
        <v>4179.53</v>
      </c>
      <c r="K140" s="25">
        <f t="shared" si="2"/>
        <v>0</v>
      </c>
    </row>
    <row r="141" spans="1:11" ht="15.95" customHeight="1" x14ac:dyDescent="0.2">
      <c r="A141" s="156" t="s">
        <v>272</v>
      </c>
      <c r="B141" s="369" t="s">
        <v>273</v>
      </c>
      <c r="C141" s="370"/>
      <c r="D141" s="370"/>
      <c r="E141" s="177">
        <v>8024.38</v>
      </c>
      <c r="F141" s="177">
        <v>0</v>
      </c>
      <c r="G141" s="25"/>
      <c r="H141" s="177">
        <v>0</v>
      </c>
      <c r="I141" s="25"/>
      <c r="J141" s="177">
        <v>8024.38</v>
      </c>
      <c r="K141" s="25">
        <f t="shared" si="2"/>
        <v>0</v>
      </c>
    </row>
    <row r="142" spans="1:11" ht="15.95" customHeight="1" x14ac:dyDescent="0.2">
      <c r="A142" s="156">
        <v>123</v>
      </c>
      <c r="B142" s="369" t="s">
        <v>274</v>
      </c>
      <c r="C142" s="370"/>
      <c r="D142" s="370"/>
      <c r="E142" s="177">
        <v>301594030.73000002</v>
      </c>
      <c r="F142" s="177">
        <v>668603.02</v>
      </c>
      <c r="G142" s="25"/>
      <c r="H142" s="177">
        <v>11707200.84</v>
      </c>
      <c r="I142" s="25"/>
      <c r="J142" s="177">
        <v>290555432.91000003</v>
      </c>
      <c r="K142" s="25">
        <f t="shared" si="2"/>
        <v>-11038597.819999993</v>
      </c>
    </row>
    <row r="143" spans="1:11" ht="15.95" customHeight="1" x14ac:dyDescent="0.2">
      <c r="A143" s="158">
        <v>12301</v>
      </c>
      <c r="B143" s="371" t="s">
        <v>274</v>
      </c>
      <c r="C143" s="372"/>
      <c r="D143" s="372"/>
      <c r="E143" s="178">
        <v>395177525.94999999</v>
      </c>
      <c r="F143" s="178">
        <v>75848.929999999993</v>
      </c>
      <c r="G143" s="31"/>
      <c r="H143" s="178">
        <v>0</v>
      </c>
      <c r="I143" s="31"/>
      <c r="J143" s="178">
        <v>395253374.88</v>
      </c>
      <c r="K143" s="31">
        <f t="shared" si="2"/>
        <v>75848.930000007153</v>
      </c>
    </row>
    <row r="144" spans="1:11" ht="15.95" customHeight="1" x14ac:dyDescent="0.2">
      <c r="A144" s="156">
        <v>1230101</v>
      </c>
      <c r="B144" s="369" t="s">
        <v>275</v>
      </c>
      <c r="C144" s="370"/>
      <c r="D144" s="370"/>
      <c r="E144" s="177">
        <v>15578786.41</v>
      </c>
      <c r="F144" s="177">
        <v>61090</v>
      </c>
      <c r="G144" s="25"/>
      <c r="H144" s="177">
        <v>0</v>
      </c>
      <c r="I144" s="25"/>
      <c r="J144" s="177">
        <v>15639876.41</v>
      </c>
      <c r="K144" s="25">
        <f t="shared" si="2"/>
        <v>61090</v>
      </c>
    </row>
    <row r="145" spans="1:11" ht="15.95" customHeight="1" x14ac:dyDescent="0.2">
      <c r="A145" s="156" t="s">
        <v>276</v>
      </c>
      <c r="B145" s="369" t="s">
        <v>277</v>
      </c>
      <c r="C145" s="370"/>
      <c r="D145" s="370"/>
      <c r="E145" s="177">
        <v>65660.77</v>
      </c>
      <c r="F145" s="177">
        <v>0</v>
      </c>
      <c r="G145" s="25"/>
      <c r="H145" s="177">
        <v>0</v>
      </c>
      <c r="I145" s="25"/>
      <c r="J145" s="177">
        <v>65660.77</v>
      </c>
      <c r="K145" s="25">
        <f t="shared" si="2"/>
        <v>0</v>
      </c>
    </row>
    <row r="146" spans="1:11" ht="15.95" customHeight="1" x14ac:dyDescent="0.2">
      <c r="A146" s="156" t="s">
        <v>278</v>
      </c>
      <c r="B146" s="369" t="s">
        <v>279</v>
      </c>
      <c r="C146" s="370"/>
      <c r="D146" s="370"/>
      <c r="E146" s="177">
        <v>12832.06</v>
      </c>
      <c r="F146" s="177">
        <v>0</v>
      </c>
      <c r="G146" s="25"/>
      <c r="H146" s="177">
        <v>0</v>
      </c>
      <c r="I146" s="25"/>
      <c r="J146" s="177">
        <v>12832.06</v>
      </c>
      <c r="K146" s="25">
        <f t="shared" si="2"/>
        <v>0</v>
      </c>
    </row>
    <row r="147" spans="1:11" ht="15.95" customHeight="1" x14ac:dyDescent="0.2">
      <c r="A147" s="156" t="s">
        <v>280</v>
      </c>
      <c r="B147" s="369" t="s">
        <v>281</v>
      </c>
      <c r="C147" s="370"/>
      <c r="D147" s="370"/>
      <c r="E147" s="177">
        <v>1204903.52</v>
      </c>
      <c r="F147" s="177">
        <v>0</v>
      </c>
      <c r="G147" s="25"/>
      <c r="H147" s="177">
        <v>0</v>
      </c>
      <c r="I147" s="25"/>
      <c r="J147" s="177">
        <v>1204903.52</v>
      </c>
      <c r="K147" s="25">
        <f t="shared" si="2"/>
        <v>0</v>
      </c>
    </row>
    <row r="148" spans="1:11" ht="15.95" customHeight="1" x14ac:dyDescent="0.2">
      <c r="A148" s="156" t="s">
        <v>282</v>
      </c>
      <c r="B148" s="369" t="s">
        <v>283</v>
      </c>
      <c r="C148" s="370"/>
      <c r="D148" s="370"/>
      <c r="E148" s="177">
        <v>9694631.7100000009</v>
      </c>
      <c r="F148" s="177">
        <v>0</v>
      </c>
      <c r="G148" s="25"/>
      <c r="H148" s="177">
        <v>0</v>
      </c>
      <c r="I148" s="25"/>
      <c r="J148" s="177">
        <v>9694631.7100000009</v>
      </c>
      <c r="K148" s="25">
        <f t="shared" si="2"/>
        <v>0</v>
      </c>
    </row>
    <row r="149" spans="1:11" ht="15.95" customHeight="1" x14ac:dyDescent="0.2">
      <c r="A149" s="156" t="s">
        <v>284</v>
      </c>
      <c r="B149" s="369" t="s">
        <v>285</v>
      </c>
      <c r="C149" s="370"/>
      <c r="D149" s="370"/>
      <c r="E149" s="177">
        <v>667472.91</v>
      </c>
      <c r="F149" s="177">
        <v>1290</v>
      </c>
      <c r="G149" s="25"/>
      <c r="H149" s="177">
        <v>0</v>
      </c>
      <c r="I149" s="25"/>
      <c r="J149" s="177">
        <v>668762.91</v>
      </c>
      <c r="K149" s="25">
        <f t="shared" si="2"/>
        <v>1290</v>
      </c>
    </row>
    <row r="150" spans="1:11" ht="15.95" customHeight="1" x14ac:dyDescent="0.2">
      <c r="A150" s="156" t="s">
        <v>286</v>
      </c>
      <c r="B150" s="369" t="s">
        <v>287</v>
      </c>
      <c r="C150" s="370"/>
      <c r="D150" s="370"/>
      <c r="E150" s="177">
        <v>1287040.06</v>
      </c>
      <c r="F150" s="177">
        <v>10800</v>
      </c>
      <c r="G150" s="25"/>
      <c r="H150" s="177">
        <v>0</v>
      </c>
      <c r="I150" s="25"/>
      <c r="J150" s="177">
        <v>1297840.06</v>
      </c>
      <c r="K150" s="25">
        <f t="shared" si="2"/>
        <v>10800</v>
      </c>
    </row>
    <row r="151" spans="1:11" ht="15.95" customHeight="1" x14ac:dyDescent="0.2">
      <c r="A151" s="156" t="s">
        <v>288</v>
      </c>
      <c r="B151" s="369" t="s">
        <v>289</v>
      </c>
      <c r="C151" s="370"/>
      <c r="D151" s="370"/>
      <c r="E151" s="177">
        <v>1262181.1399999999</v>
      </c>
      <c r="F151" s="177">
        <v>49000</v>
      </c>
      <c r="G151" s="25"/>
      <c r="H151" s="177">
        <v>0</v>
      </c>
      <c r="I151" s="25"/>
      <c r="J151" s="177">
        <v>1311181.1399999999</v>
      </c>
      <c r="K151" s="25">
        <f t="shared" si="2"/>
        <v>49000</v>
      </c>
    </row>
    <row r="152" spans="1:11" ht="15.95" customHeight="1" x14ac:dyDescent="0.2">
      <c r="A152" s="156" t="s">
        <v>290</v>
      </c>
      <c r="B152" s="369" t="s">
        <v>291</v>
      </c>
      <c r="C152" s="370"/>
      <c r="D152" s="370"/>
      <c r="E152" s="177">
        <v>778347.84</v>
      </c>
      <c r="F152" s="177">
        <v>0</v>
      </c>
      <c r="G152" s="25"/>
      <c r="H152" s="177">
        <v>0</v>
      </c>
      <c r="I152" s="25"/>
      <c r="J152" s="177">
        <v>778347.84</v>
      </c>
      <c r="K152" s="25">
        <f t="shared" si="2"/>
        <v>0</v>
      </c>
    </row>
    <row r="153" spans="1:11" ht="15.95" customHeight="1" x14ac:dyDescent="0.2">
      <c r="A153" s="156" t="s">
        <v>292</v>
      </c>
      <c r="B153" s="369" t="s">
        <v>293</v>
      </c>
      <c r="C153" s="370"/>
      <c r="D153" s="370"/>
      <c r="E153" s="177">
        <v>15354</v>
      </c>
      <c r="F153" s="177">
        <v>0</v>
      </c>
      <c r="G153" s="25"/>
      <c r="H153" s="177">
        <v>0</v>
      </c>
      <c r="I153" s="25"/>
      <c r="J153" s="177">
        <v>15354</v>
      </c>
      <c r="K153" s="25">
        <f t="shared" si="2"/>
        <v>0</v>
      </c>
    </row>
    <row r="154" spans="1:11" ht="15.95" customHeight="1" x14ac:dyDescent="0.2">
      <c r="A154" s="156" t="s">
        <v>294</v>
      </c>
      <c r="B154" s="369" t="s">
        <v>295</v>
      </c>
      <c r="C154" s="370"/>
      <c r="D154" s="370"/>
      <c r="E154" s="177">
        <v>590362.4</v>
      </c>
      <c r="F154" s="177">
        <v>0</v>
      </c>
      <c r="G154" s="25"/>
      <c r="H154" s="177">
        <v>0</v>
      </c>
      <c r="I154" s="25"/>
      <c r="J154" s="177">
        <v>590362.4</v>
      </c>
      <c r="K154" s="25">
        <f t="shared" si="2"/>
        <v>0</v>
      </c>
    </row>
    <row r="155" spans="1:11" ht="15.95" customHeight="1" x14ac:dyDescent="0.2">
      <c r="A155" s="156">
        <v>1230102</v>
      </c>
      <c r="B155" s="369" t="s">
        <v>296</v>
      </c>
      <c r="C155" s="370"/>
      <c r="D155" s="370"/>
      <c r="E155" s="177">
        <v>144659770.72999999</v>
      </c>
      <c r="F155" s="177">
        <v>0</v>
      </c>
      <c r="G155" s="25"/>
      <c r="H155" s="177">
        <v>0</v>
      </c>
      <c r="I155" s="25"/>
      <c r="J155" s="177">
        <v>144659770.72999999</v>
      </c>
      <c r="K155" s="25">
        <f t="shared" si="2"/>
        <v>0</v>
      </c>
    </row>
    <row r="156" spans="1:11" ht="15.95" customHeight="1" x14ac:dyDescent="0.2">
      <c r="A156" s="156" t="s">
        <v>297</v>
      </c>
      <c r="B156" s="369" t="s">
        <v>298</v>
      </c>
      <c r="C156" s="370"/>
      <c r="D156" s="370"/>
      <c r="E156" s="177">
        <v>1770.62</v>
      </c>
      <c r="F156" s="177">
        <v>0</v>
      </c>
      <c r="G156" s="25"/>
      <c r="H156" s="177">
        <v>0</v>
      </c>
      <c r="I156" s="25"/>
      <c r="J156" s="177">
        <v>1770.62</v>
      </c>
      <c r="K156" s="25">
        <f t="shared" si="2"/>
        <v>0</v>
      </c>
    </row>
    <row r="157" spans="1:11" ht="15.95" customHeight="1" x14ac:dyDescent="0.2">
      <c r="A157" s="156" t="s">
        <v>299</v>
      </c>
      <c r="B157" s="369" t="s">
        <v>300</v>
      </c>
      <c r="C157" s="370"/>
      <c r="D157" s="370"/>
      <c r="E157" s="177">
        <v>14370221.73</v>
      </c>
      <c r="F157" s="177">
        <v>0</v>
      </c>
      <c r="G157" s="25"/>
      <c r="H157" s="177">
        <v>0</v>
      </c>
      <c r="I157" s="25"/>
      <c r="J157" s="177">
        <v>14370221.73</v>
      </c>
      <c r="K157" s="25">
        <f t="shared" si="2"/>
        <v>0</v>
      </c>
    </row>
    <row r="158" spans="1:11" ht="15.95" customHeight="1" x14ac:dyDescent="0.2">
      <c r="A158" s="156" t="s">
        <v>301</v>
      </c>
      <c r="B158" s="369" t="s">
        <v>302</v>
      </c>
      <c r="C158" s="370"/>
      <c r="D158" s="370"/>
      <c r="E158" s="177">
        <v>4450.58</v>
      </c>
      <c r="F158" s="177">
        <v>0</v>
      </c>
      <c r="G158" s="25"/>
      <c r="H158" s="177">
        <v>0</v>
      </c>
      <c r="I158" s="25"/>
      <c r="J158" s="177">
        <v>4450.58</v>
      </c>
      <c r="K158" s="25">
        <f t="shared" si="2"/>
        <v>0</v>
      </c>
    </row>
    <row r="159" spans="1:11" ht="15.95" customHeight="1" x14ac:dyDescent="0.2">
      <c r="A159" s="156" t="s">
        <v>303</v>
      </c>
      <c r="B159" s="369" t="s">
        <v>304</v>
      </c>
      <c r="C159" s="370"/>
      <c r="D159" s="370"/>
      <c r="E159" s="177">
        <v>24023782.789999999</v>
      </c>
      <c r="F159" s="177">
        <v>0</v>
      </c>
      <c r="G159" s="25"/>
      <c r="H159" s="177">
        <v>0</v>
      </c>
      <c r="I159" s="25"/>
      <c r="J159" s="177">
        <v>24023782.789999999</v>
      </c>
      <c r="K159" s="25">
        <f t="shared" si="2"/>
        <v>0</v>
      </c>
    </row>
    <row r="160" spans="1:11" ht="15.95" customHeight="1" x14ac:dyDescent="0.2">
      <c r="A160" s="156" t="s">
        <v>305</v>
      </c>
      <c r="B160" s="369" t="s">
        <v>306</v>
      </c>
      <c r="C160" s="370"/>
      <c r="D160" s="370"/>
      <c r="E160" s="177">
        <v>60129217.159999996</v>
      </c>
      <c r="F160" s="177">
        <v>0</v>
      </c>
      <c r="G160" s="25"/>
      <c r="H160" s="177">
        <v>0</v>
      </c>
      <c r="I160" s="25"/>
      <c r="J160" s="177">
        <v>60129217.159999996</v>
      </c>
      <c r="K160" s="25">
        <f t="shared" si="2"/>
        <v>0</v>
      </c>
    </row>
    <row r="161" spans="1:11" ht="15.95" customHeight="1" x14ac:dyDescent="0.2">
      <c r="A161" s="156" t="s">
        <v>307</v>
      </c>
      <c r="B161" s="369" t="s">
        <v>308</v>
      </c>
      <c r="C161" s="370"/>
      <c r="D161" s="370"/>
      <c r="E161" s="177">
        <v>16451422.199999999</v>
      </c>
      <c r="F161" s="177">
        <v>0</v>
      </c>
      <c r="G161" s="25"/>
      <c r="H161" s="177">
        <v>0</v>
      </c>
      <c r="I161" s="25"/>
      <c r="J161" s="177">
        <v>16451422.199999999</v>
      </c>
      <c r="K161" s="25">
        <f t="shared" si="2"/>
        <v>0</v>
      </c>
    </row>
    <row r="162" spans="1:11" ht="15.95" customHeight="1" x14ac:dyDescent="0.2">
      <c r="A162" s="156" t="s">
        <v>309</v>
      </c>
      <c r="B162" s="369" t="s">
        <v>310</v>
      </c>
      <c r="C162" s="370"/>
      <c r="D162" s="370"/>
      <c r="E162" s="177">
        <v>501889.3</v>
      </c>
      <c r="F162" s="177">
        <v>0</v>
      </c>
      <c r="G162" s="25"/>
      <c r="H162" s="177">
        <v>0</v>
      </c>
      <c r="I162" s="25"/>
      <c r="J162" s="177">
        <v>501889.3</v>
      </c>
      <c r="K162" s="25">
        <f t="shared" si="2"/>
        <v>0</v>
      </c>
    </row>
    <row r="163" spans="1:11" ht="15.95" customHeight="1" x14ac:dyDescent="0.2">
      <c r="A163" s="156" t="s">
        <v>311</v>
      </c>
      <c r="B163" s="369" t="s">
        <v>312</v>
      </c>
      <c r="C163" s="370"/>
      <c r="D163" s="370"/>
      <c r="E163" s="177">
        <v>95202.46</v>
      </c>
      <c r="F163" s="177">
        <v>0</v>
      </c>
      <c r="G163" s="25"/>
      <c r="H163" s="177">
        <v>0</v>
      </c>
      <c r="I163" s="25"/>
      <c r="J163" s="177">
        <v>95202.46</v>
      </c>
      <c r="K163" s="25">
        <f t="shared" si="2"/>
        <v>0</v>
      </c>
    </row>
    <row r="164" spans="1:11" ht="27.95" customHeight="1" x14ac:dyDescent="0.2">
      <c r="A164" s="156" t="s">
        <v>313</v>
      </c>
      <c r="B164" s="369" t="s">
        <v>314</v>
      </c>
      <c r="C164" s="370"/>
      <c r="D164" s="370"/>
      <c r="E164" s="177">
        <v>13925.73</v>
      </c>
      <c r="F164" s="177">
        <v>0</v>
      </c>
      <c r="G164" s="25"/>
      <c r="H164" s="177">
        <v>0</v>
      </c>
      <c r="I164" s="25"/>
      <c r="J164" s="177">
        <v>13925.73</v>
      </c>
      <c r="K164" s="25">
        <f t="shared" si="2"/>
        <v>0</v>
      </c>
    </row>
    <row r="165" spans="1:11" ht="15.95" customHeight="1" x14ac:dyDescent="0.2">
      <c r="A165" s="156" t="s">
        <v>315</v>
      </c>
      <c r="B165" s="369" t="s">
        <v>316</v>
      </c>
      <c r="C165" s="370"/>
      <c r="D165" s="370"/>
      <c r="E165" s="177">
        <v>12492661.49</v>
      </c>
      <c r="F165" s="177">
        <v>0</v>
      </c>
      <c r="G165" s="25"/>
      <c r="H165" s="177">
        <v>0</v>
      </c>
      <c r="I165" s="25"/>
      <c r="J165" s="177">
        <v>12492661.49</v>
      </c>
      <c r="K165" s="25">
        <f t="shared" si="2"/>
        <v>0</v>
      </c>
    </row>
    <row r="166" spans="1:11" ht="15.95" customHeight="1" x14ac:dyDescent="0.2">
      <c r="A166" s="156" t="s">
        <v>317</v>
      </c>
      <c r="B166" s="369" t="s">
        <v>318</v>
      </c>
      <c r="C166" s="370"/>
      <c r="D166" s="370"/>
      <c r="E166" s="177">
        <v>984332.14</v>
      </c>
      <c r="F166" s="177">
        <v>0</v>
      </c>
      <c r="G166" s="25"/>
      <c r="H166" s="177">
        <v>0</v>
      </c>
      <c r="I166" s="25"/>
      <c r="J166" s="177">
        <v>984332.14</v>
      </c>
      <c r="K166" s="25">
        <f t="shared" si="2"/>
        <v>0</v>
      </c>
    </row>
    <row r="167" spans="1:11" ht="15.95" customHeight="1" x14ac:dyDescent="0.2">
      <c r="A167" s="156" t="s">
        <v>319</v>
      </c>
      <c r="B167" s="369" t="s">
        <v>320</v>
      </c>
      <c r="C167" s="370"/>
      <c r="D167" s="370"/>
      <c r="E167" s="177">
        <v>600371.77</v>
      </c>
      <c r="F167" s="177">
        <v>0</v>
      </c>
      <c r="G167" s="25"/>
      <c r="H167" s="177">
        <v>0</v>
      </c>
      <c r="I167" s="25"/>
      <c r="J167" s="177">
        <v>600371.77</v>
      </c>
      <c r="K167" s="25">
        <f t="shared" si="2"/>
        <v>0</v>
      </c>
    </row>
    <row r="168" spans="1:11" ht="15.95" customHeight="1" x14ac:dyDescent="0.2">
      <c r="A168" s="156" t="s">
        <v>321</v>
      </c>
      <c r="B168" s="369" t="s">
        <v>322</v>
      </c>
      <c r="C168" s="370"/>
      <c r="D168" s="370"/>
      <c r="E168" s="177">
        <v>123943.43</v>
      </c>
      <c r="F168" s="177">
        <v>0</v>
      </c>
      <c r="G168" s="25"/>
      <c r="H168" s="177">
        <v>0</v>
      </c>
      <c r="I168" s="25"/>
      <c r="J168" s="177">
        <v>123943.43</v>
      </c>
      <c r="K168" s="25">
        <f t="shared" si="2"/>
        <v>0</v>
      </c>
    </row>
    <row r="169" spans="1:11" ht="15.95" customHeight="1" x14ac:dyDescent="0.2">
      <c r="A169" s="156" t="s">
        <v>323</v>
      </c>
      <c r="B169" s="369" t="s">
        <v>324</v>
      </c>
      <c r="C169" s="370"/>
      <c r="D169" s="370"/>
      <c r="E169" s="177">
        <v>149.38</v>
      </c>
      <c r="F169" s="177">
        <v>0</v>
      </c>
      <c r="G169" s="25"/>
      <c r="H169" s="177">
        <v>0</v>
      </c>
      <c r="I169" s="25"/>
      <c r="J169" s="177">
        <v>149.38</v>
      </c>
      <c r="K169" s="25">
        <f t="shared" si="2"/>
        <v>0</v>
      </c>
    </row>
    <row r="170" spans="1:11" ht="15.95" customHeight="1" x14ac:dyDescent="0.2">
      <c r="A170" s="156" t="s">
        <v>325</v>
      </c>
      <c r="B170" s="369" t="s">
        <v>326</v>
      </c>
      <c r="C170" s="370"/>
      <c r="D170" s="370"/>
      <c r="E170" s="177">
        <v>2942111.51</v>
      </c>
      <c r="F170" s="177">
        <v>0</v>
      </c>
      <c r="G170" s="25"/>
      <c r="H170" s="177">
        <v>0</v>
      </c>
      <c r="I170" s="25"/>
      <c r="J170" s="177">
        <v>2942111.51</v>
      </c>
      <c r="K170" s="25">
        <f t="shared" si="2"/>
        <v>0</v>
      </c>
    </row>
    <row r="171" spans="1:11" ht="15.95" customHeight="1" x14ac:dyDescent="0.2">
      <c r="A171" s="156" t="s">
        <v>327</v>
      </c>
      <c r="B171" s="369" t="s">
        <v>328</v>
      </c>
      <c r="C171" s="370"/>
      <c r="D171" s="370"/>
      <c r="E171" s="177">
        <v>1970.82</v>
      </c>
      <c r="F171" s="177">
        <v>0</v>
      </c>
      <c r="G171" s="25"/>
      <c r="H171" s="177">
        <v>0</v>
      </c>
      <c r="I171" s="25"/>
      <c r="J171" s="177">
        <v>1970.82</v>
      </c>
      <c r="K171" s="25">
        <f t="shared" si="2"/>
        <v>0</v>
      </c>
    </row>
    <row r="172" spans="1:11" ht="15.95" customHeight="1" x14ac:dyDescent="0.2">
      <c r="A172" s="156" t="s">
        <v>329</v>
      </c>
      <c r="B172" s="369" t="s">
        <v>330</v>
      </c>
      <c r="C172" s="370"/>
      <c r="D172" s="370"/>
      <c r="E172" s="177">
        <v>468475.02</v>
      </c>
      <c r="F172" s="177">
        <v>0</v>
      </c>
      <c r="G172" s="25"/>
      <c r="H172" s="177">
        <v>0</v>
      </c>
      <c r="I172" s="25"/>
      <c r="J172" s="177">
        <v>468475.02</v>
      </c>
      <c r="K172" s="25">
        <f t="shared" si="2"/>
        <v>0</v>
      </c>
    </row>
    <row r="173" spans="1:11" ht="15.95" customHeight="1" x14ac:dyDescent="0.2">
      <c r="A173" s="156" t="s">
        <v>331</v>
      </c>
      <c r="B173" s="369" t="s">
        <v>332</v>
      </c>
      <c r="C173" s="370"/>
      <c r="D173" s="370"/>
      <c r="E173" s="177">
        <v>7045901.6699999999</v>
      </c>
      <c r="F173" s="177">
        <v>0</v>
      </c>
      <c r="G173" s="25"/>
      <c r="H173" s="177">
        <v>0</v>
      </c>
      <c r="I173" s="25"/>
      <c r="J173" s="177">
        <v>7045901.6699999999</v>
      </c>
      <c r="K173" s="25">
        <f t="shared" si="2"/>
        <v>0</v>
      </c>
    </row>
    <row r="174" spans="1:11" ht="15.95" customHeight="1" x14ac:dyDescent="0.2">
      <c r="A174" s="156" t="s">
        <v>333</v>
      </c>
      <c r="B174" s="369" t="s">
        <v>334</v>
      </c>
      <c r="C174" s="370"/>
      <c r="D174" s="370"/>
      <c r="E174" s="177">
        <v>1224566.5900000001</v>
      </c>
      <c r="F174" s="177">
        <v>0</v>
      </c>
      <c r="G174" s="25"/>
      <c r="H174" s="177">
        <v>0</v>
      </c>
      <c r="I174" s="25"/>
      <c r="J174" s="177">
        <v>1224566.5900000001</v>
      </c>
      <c r="K174" s="25">
        <f t="shared" si="2"/>
        <v>0</v>
      </c>
    </row>
    <row r="175" spans="1:11" ht="15.95" customHeight="1" x14ac:dyDescent="0.2">
      <c r="A175" s="156" t="s">
        <v>335</v>
      </c>
      <c r="B175" s="369" t="s">
        <v>336</v>
      </c>
      <c r="C175" s="370"/>
      <c r="D175" s="370"/>
      <c r="E175" s="177">
        <v>2117236.1</v>
      </c>
      <c r="F175" s="177">
        <v>0</v>
      </c>
      <c r="G175" s="25"/>
      <c r="H175" s="177">
        <v>0</v>
      </c>
      <c r="I175" s="25"/>
      <c r="J175" s="177">
        <v>2117236.1</v>
      </c>
      <c r="K175" s="25">
        <f t="shared" si="2"/>
        <v>0</v>
      </c>
    </row>
    <row r="176" spans="1:11" ht="15.95" customHeight="1" x14ac:dyDescent="0.2">
      <c r="A176" s="156" t="s">
        <v>337</v>
      </c>
      <c r="B176" s="369" t="s">
        <v>338</v>
      </c>
      <c r="C176" s="370"/>
      <c r="D176" s="370"/>
      <c r="E176" s="177">
        <v>1066168.24</v>
      </c>
      <c r="F176" s="177">
        <v>0</v>
      </c>
      <c r="G176" s="25"/>
      <c r="H176" s="177">
        <v>0</v>
      </c>
      <c r="I176" s="25"/>
      <c r="J176" s="177">
        <v>1066168.24</v>
      </c>
      <c r="K176" s="25">
        <f t="shared" si="2"/>
        <v>0</v>
      </c>
    </row>
    <row r="177" spans="1:11" ht="15.95" customHeight="1" x14ac:dyDescent="0.2">
      <c r="A177" s="156">
        <v>1230103</v>
      </c>
      <c r="B177" s="369" t="s">
        <v>339</v>
      </c>
      <c r="C177" s="370"/>
      <c r="D177" s="370"/>
      <c r="E177" s="177">
        <v>382225.69</v>
      </c>
      <c r="F177" s="177">
        <v>14758.93</v>
      </c>
      <c r="G177" s="25"/>
      <c r="H177" s="177">
        <v>0</v>
      </c>
      <c r="I177" s="25"/>
      <c r="J177" s="177">
        <v>396984.62</v>
      </c>
      <c r="K177" s="25">
        <f t="shared" si="2"/>
        <v>14758.929999999993</v>
      </c>
    </row>
    <row r="178" spans="1:11" ht="15.95" customHeight="1" x14ac:dyDescent="0.2">
      <c r="A178" s="156" t="s">
        <v>340</v>
      </c>
      <c r="B178" s="369" t="s">
        <v>341</v>
      </c>
      <c r="C178" s="370"/>
      <c r="D178" s="370"/>
      <c r="E178" s="177">
        <v>382225.69</v>
      </c>
      <c r="F178" s="177">
        <v>14758.93</v>
      </c>
      <c r="G178" s="25"/>
      <c r="H178" s="177">
        <v>0</v>
      </c>
      <c r="I178" s="25"/>
      <c r="J178" s="177">
        <v>396984.62</v>
      </c>
      <c r="K178" s="25">
        <f t="shared" si="2"/>
        <v>14758.929999999993</v>
      </c>
    </row>
    <row r="179" spans="1:11" ht="15.95" customHeight="1" x14ac:dyDescent="0.2">
      <c r="A179" s="156">
        <v>1230104</v>
      </c>
      <c r="B179" s="369" t="s">
        <v>342</v>
      </c>
      <c r="C179" s="370"/>
      <c r="D179" s="370"/>
      <c r="E179" s="177">
        <v>1626929.13</v>
      </c>
      <c r="F179" s="177">
        <v>0</v>
      </c>
      <c r="G179" s="25"/>
      <c r="H179" s="177">
        <v>0</v>
      </c>
      <c r="I179" s="25"/>
      <c r="J179" s="177">
        <v>1626929.13</v>
      </c>
      <c r="K179" s="25">
        <f t="shared" si="2"/>
        <v>0</v>
      </c>
    </row>
    <row r="180" spans="1:11" ht="15.95" customHeight="1" x14ac:dyDescent="0.2">
      <c r="A180" s="156" t="s">
        <v>343</v>
      </c>
      <c r="B180" s="369" t="s">
        <v>344</v>
      </c>
      <c r="C180" s="370"/>
      <c r="D180" s="370"/>
      <c r="E180" s="177">
        <v>527833.12</v>
      </c>
      <c r="F180" s="177">
        <v>0</v>
      </c>
      <c r="G180" s="25"/>
      <c r="H180" s="177">
        <v>0</v>
      </c>
      <c r="I180" s="25"/>
      <c r="J180" s="177">
        <v>527833.12</v>
      </c>
      <c r="K180" s="25">
        <f t="shared" si="2"/>
        <v>0</v>
      </c>
    </row>
    <row r="181" spans="1:11" ht="15.95" customHeight="1" x14ac:dyDescent="0.2">
      <c r="A181" s="156" t="s">
        <v>345</v>
      </c>
      <c r="B181" s="369" t="s">
        <v>346</v>
      </c>
      <c r="C181" s="370"/>
      <c r="D181" s="370"/>
      <c r="E181" s="177">
        <v>140000</v>
      </c>
      <c r="F181" s="177">
        <v>0</v>
      </c>
      <c r="G181" s="25"/>
      <c r="H181" s="177">
        <v>0</v>
      </c>
      <c r="I181" s="25"/>
      <c r="J181" s="177">
        <v>140000</v>
      </c>
      <c r="K181" s="25">
        <f t="shared" si="2"/>
        <v>0</v>
      </c>
    </row>
    <row r="182" spans="1:11" ht="15.95" customHeight="1" x14ac:dyDescent="0.2">
      <c r="A182" s="156" t="s">
        <v>347</v>
      </c>
      <c r="B182" s="369" t="s">
        <v>348</v>
      </c>
      <c r="C182" s="370"/>
      <c r="D182" s="370"/>
      <c r="E182" s="177">
        <v>959096.01</v>
      </c>
      <c r="F182" s="177">
        <v>0</v>
      </c>
      <c r="G182" s="25"/>
      <c r="H182" s="177">
        <v>0</v>
      </c>
      <c r="I182" s="25"/>
      <c r="J182" s="177">
        <v>959096.01</v>
      </c>
      <c r="K182" s="25">
        <f t="shared" si="2"/>
        <v>0</v>
      </c>
    </row>
    <row r="183" spans="1:11" ht="15.95" customHeight="1" x14ac:dyDescent="0.2">
      <c r="A183" s="156">
        <v>1230105</v>
      </c>
      <c r="B183" s="369" t="s">
        <v>349</v>
      </c>
      <c r="C183" s="370"/>
      <c r="D183" s="370"/>
      <c r="E183" s="177">
        <v>238454443.41</v>
      </c>
      <c r="F183" s="177">
        <v>0</v>
      </c>
      <c r="G183" s="25"/>
      <c r="H183" s="177">
        <v>0</v>
      </c>
      <c r="I183" s="25"/>
      <c r="J183" s="177">
        <v>238454443.41</v>
      </c>
      <c r="K183" s="25">
        <f t="shared" si="2"/>
        <v>0</v>
      </c>
    </row>
    <row r="184" spans="1:11" ht="15.95" customHeight="1" x14ac:dyDescent="0.2">
      <c r="A184" s="156" t="s">
        <v>350</v>
      </c>
      <c r="B184" s="369" t="s">
        <v>351</v>
      </c>
      <c r="C184" s="370"/>
      <c r="D184" s="370"/>
      <c r="E184" s="177">
        <v>231979697.44</v>
      </c>
      <c r="F184" s="177">
        <v>0</v>
      </c>
      <c r="G184" s="25"/>
      <c r="H184" s="177">
        <v>0</v>
      </c>
      <c r="I184" s="25"/>
      <c r="J184" s="177">
        <v>231979697.44</v>
      </c>
      <c r="K184" s="25">
        <f t="shared" si="2"/>
        <v>0</v>
      </c>
    </row>
    <row r="185" spans="1:11" ht="15.95" customHeight="1" x14ac:dyDescent="0.2">
      <c r="A185" s="156" t="s">
        <v>352</v>
      </c>
      <c r="B185" s="369" t="s">
        <v>353</v>
      </c>
      <c r="C185" s="370"/>
      <c r="D185" s="370"/>
      <c r="E185" s="177">
        <v>1093994.98</v>
      </c>
      <c r="F185" s="177">
        <v>0</v>
      </c>
      <c r="G185" s="25"/>
      <c r="H185" s="177">
        <v>0</v>
      </c>
      <c r="I185" s="25"/>
      <c r="J185" s="177">
        <v>1093994.98</v>
      </c>
      <c r="K185" s="25">
        <f t="shared" si="2"/>
        <v>0</v>
      </c>
    </row>
    <row r="186" spans="1:11" ht="15.95" customHeight="1" x14ac:dyDescent="0.2">
      <c r="A186" s="156" t="s">
        <v>354</v>
      </c>
      <c r="B186" s="369" t="s">
        <v>355</v>
      </c>
      <c r="C186" s="370"/>
      <c r="D186" s="370"/>
      <c r="E186" s="177">
        <v>3533050.99</v>
      </c>
      <c r="F186" s="177">
        <v>0</v>
      </c>
      <c r="G186" s="25"/>
      <c r="H186" s="177">
        <v>0</v>
      </c>
      <c r="I186" s="25"/>
      <c r="J186" s="177">
        <v>3533050.99</v>
      </c>
      <c r="K186" s="25">
        <f t="shared" si="2"/>
        <v>0</v>
      </c>
    </row>
    <row r="187" spans="1:11" ht="15.95" customHeight="1" x14ac:dyDescent="0.2">
      <c r="A187" s="156" t="s">
        <v>356</v>
      </c>
      <c r="B187" s="369" t="s">
        <v>357</v>
      </c>
      <c r="C187" s="370"/>
      <c r="D187" s="370"/>
      <c r="E187" s="177">
        <v>6700</v>
      </c>
      <c r="F187" s="177">
        <v>0</v>
      </c>
      <c r="G187" s="25"/>
      <c r="H187" s="177">
        <v>0</v>
      </c>
      <c r="I187" s="25"/>
      <c r="J187" s="177">
        <v>6700</v>
      </c>
      <c r="K187" s="25">
        <f t="shared" si="2"/>
        <v>0</v>
      </c>
    </row>
    <row r="188" spans="1:11" ht="15.95" customHeight="1" x14ac:dyDescent="0.2">
      <c r="A188" s="156" t="s">
        <v>358</v>
      </c>
      <c r="B188" s="369" t="s">
        <v>359</v>
      </c>
      <c r="C188" s="370"/>
      <c r="D188" s="370"/>
      <c r="E188" s="177">
        <v>1841000</v>
      </c>
      <c r="F188" s="177">
        <v>0</v>
      </c>
      <c r="G188" s="25"/>
      <c r="H188" s="177">
        <v>0</v>
      </c>
      <c r="I188" s="25"/>
      <c r="J188" s="177">
        <v>1841000</v>
      </c>
      <c r="K188" s="25">
        <f t="shared" si="2"/>
        <v>0</v>
      </c>
    </row>
    <row r="189" spans="1:11" ht="15.95" customHeight="1" x14ac:dyDescent="0.2">
      <c r="A189" s="156">
        <v>1230108</v>
      </c>
      <c r="B189" s="369" t="s">
        <v>360</v>
      </c>
      <c r="C189" s="370"/>
      <c r="D189" s="370"/>
      <c r="E189" s="177">
        <v>-5524629.4199999999</v>
      </c>
      <c r="F189" s="177">
        <v>0</v>
      </c>
      <c r="G189" s="25"/>
      <c r="H189" s="177">
        <v>0</v>
      </c>
      <c r="I189" s="25"/>
      <c r="J189" s="177">
        <v>-5524629.4199999999</v>
      </c>
      <c r="K189" s="25">
        <f t="shared" si="2"/>
        <v>0</v>
      </c>
    </row>
    <row r="190" spans="1:11" ht="15.95" customHeight="1" x14ac:dyDescent="0.2">
      <c r="A190" s="156" t="s">
        <v>361</v>
      </c>
      <c r="B190" s="369" t="s">
        <v>362</v>
      </c>
      <c r="C190" s="370"/>
      <c r="D190" s="370"/>
      <c r="E190" s="177">
        <v>-18424.2</v>
      </c>
      <c r="F190" s="177">
        <v>0</v>
      </c>
      <c r="G190" s="25"/>
      <c r="H190" s="177">
        <v>0</v>
      </c>
      <c r="I190" s="25"/>
      <c r="J190" s="177">
        <v>-18424.2</v>
      </c>
      <c r="K190" s="25">
        <f t="shared" si="2"/>
        <v>0</v>
      </c>
    </row>
    <row r="191" spans="1:11" ht="15.95" customHeight="1" x14ac:dyDescent="0.2">
      <c r="A191" s="156" t="s">
        <v>363</v>
      </c>
      <c r="B191" s="369" t="s">
        <v>364</v>
      </c>
      <c r="C191" s="370"/>
      <c r="D191" s="370"/>
      <c r="E191" s="177">
        <v>-170198.69</v>
      </c>
      <c r="F191" s="177">
        <v>0</v>
      </c>
      <c r="G191" s="25"/>
      <c r="H191" s="177">
        <v>0</v>
      </c>
      <c r="I191" s="25"/>
      <c r="J191" s="177">
        <v>-170198.69</v>
      </c>
      <c r="K191" s="25">
        <f t="shared" si="2"/>
        <v>0</v>
      </c>
    </row>
    <row r="192" spans="1:11" ht="15.95" customHeight="1" x14ac:dyDescent="0.2">
      <c r="A192" s="156" t="s">
        <v>365</v>
      </c>
      <c r="B192" s="369" t="s">
        <v>366</v>
      </c>
      <c r="C192" s="370"/>
      <c r="D192" s="370"/>
      <c r="E192" s="177">
        <v>-23611.29</v>
      </c>
      <c r="F192" s="177">
        <v>0</v>
      </c>
      <c r="G192" s="25"/>
      <c r="H192" s="177">
        <v>0</v>
      </c>
      <c r="I192" s="25"/>
      <c r="J192" s="177">
        <v>-23611.29</v>
      </c>
      <c r="K192" s="25">
        <f t="shared" si="2"/>
        <v>0</v>
      </c>
    </row>
    <row r="193" spans="1:11" ht="15.95" customHeight="1" x14ac:dyDescent="0.2">
      <c r="A193" s="156" t="s">
        <v>367</v>
      </c>
      <c r="B193" s="369" t="s">
        <v>368</v>
      </c>
      <c r="C193" s="370"/>
      <c r="D193" s="370"/>
      <c r="E193" s="177">
        <v>-8308.92</v>
      </c>
      <c r="F193" s="177">
        <v>0</v>
      </c>
      <c r="G193" s="25"/>
      <c r="H193" s="177">
        <v>0</v>
      </c>
      <c r="I193" s="25"/>
      <c r="J193" s="177">
        <v>-8308.92</v>
      </c>
      <c r="K193" s="25">
        <f t="shared" si="2"/>
        <v>0</v>
      </c>
    </row>
    <row r="194" spans="1:11" ht="15.95" customHeight="1" x14ac:dyDescent="0.2">
      <c r="A194" s="156" t="s">
        <v>369</v>
      </c>
      <c r="B194" s="369" t="s">
        <v>370</v>
      </c>
      <c r="C194" s="370"/>
      <c r="D194" s="370"/>
      <c r="E194" s="177">
        <v>-4233.8599999999997</v>
      </c>
      <c r="F194" s="177">
        <v>0</v>
      </c>
      <c r="G194" s="25"/>
      <c r="H194" s="177">
        <v>0</v>
      </c>
      <c r="I194" s="25"/>
      <c r="J194" s="177">
        <v>-4233.8599999999997</v>
      </c>
      <c r="K194" s="25">
        <f t="shared" si="2"/>
        <v>0</v>
      </c>
    </row>
    <row r="195" spans="1:11" ht="15.95" customHeight="1" x14ac:dyDescent="0.2">
      <c r="A195" s="156" t="s">
        <v>371</v>
      </c>
      <c r="B195" s="369" t="s">
        <v>372</v>
      </c>
      <c r="C195" s="370"/>
      <c r="D195" s="370"/>
      <c r="E195" s="177">
        <v>-2729.37</v>
      </c>
      <c r="F195" s="177">
        <v>0</v>
      </c>
      <c r="G195" s="25"/>
      <c r="H195" s="177">
        <v>0</v>
      </c>
      <c r="I195" s="25"/>
      <c r="J195" s="177">
        <v>-2729.37</v>
      </c>
      <c r="K195" s="25">
        <f t="shared" si="2"/>
        <v>0</v>
      </c>
    </row>
    <row r="196" spans="1:11" ht="15.95" customHeight="1" x14ac:dyDescent="0.2">
      <c r="A196" s="156" t="s">
        <v>373</v>
      </c>
      <c r="B196" s="369" t="s">
        <v>374</v>
      </c>
      <c r="C196" s="370"/>
      <c r="D196" s="370"/>
      <c r="E196" s="177">
        <v>-1353787.09</v>
      </c>
      <c r="F196" s="177">
        <v>0</v>
      </c>
      <c r="G196" s="25"/>
      <c r="H196" s="177">
        <v>0</v>
      </c>
      <c r="I196" s="25"/>
      <c r="J196" s="177">
        <v>-1353787.09</v>
      </c>
      <c r="K196" s="25">
        <f t="shared" ref="K196:K259" si="3">J196-E196</f>
        <v>0</v>
      </c>
    </row>
    <row r="197" spans="1:11" ht="15.95" customHeight="1" x14ac:dyDescent="0.2">
      <c r="A197" s="156" t="s">
        <v>375</v>
      </c>
      <c r="B197" s="369" t="s">
        <v>376</v>
      </c>
      <c r="C197" s="370"/>
      <c r="D197" s="370"/>
      <c r="E197" s="177">
        <v>-12754.35</v>
      </c>
      <c r="F197" s="177">
        <v>0</v>
      </c>
      <c r="G197" s="25"/>
      <c r="H197" s="177">
        <v>0</v>
      </c>
      <c r="I197" s="25"/>
      <c r="J197" s="177">
        <v>-12754.35</v>
      </c>
      <c r="K197" s="25">
        <f t="shared" si="3"/>
        <v>0</v>
      </c>
    </row>
    <row r="198" spans="1:11" ht="15.95" customHeight="1" x14ac:dyDescent="0.2">
      <c r="A198" s="156" t="s">
        <v>377</v>
      </c>
      <c r="B198" s="369" t="s">
        <v>378</v>
      </c>
      <c r="C198" s="370"/>
      <c r="D198" s="370"/>
      <c r="E198" s="177">
        <v>-1798587.79</v>
      </c>
      <c r="F198" s="177">
        <v>0</v>
      </c>
      <c r="G198" s="25"/>
      <c r="H198" s="177">
        <v>0</v>
      </c>
      <c r="I198" s="25"/>
      <c r="J198" s="177">
        <v>-1798587.79</v>
      </c>
      <c r="K198" s="25">
        <f t="shared" si="3"/>
        <v>0</v>
      </c>
    </row>
    <row r="199" spans="1:11" ht="15.95" customHeight="1" x14ac:dyDescent="0.2">
      <c r="A199" s="156" t="s">
        <v>379</v>
      </c>
      <c r="B199" s="369" t="s">
        <v>380</v>
      </c>
      <c r="C199" s="370"/>
      <c r="D199" s="370"/>
      <c r="E199" s="177">
        <v>-7928.64</v>
      </c>
      <c r="F199" s="177">
        <v>0</v>
      </c>
      <c r="G199" s="25"/>
      <c r="H199" s="177">
        <v>0</v>
      </c>
      <c r="I199" s="25"/>
      <c r="J199" s="177">
        <v>-7928.64</v>
      </c>
      <c r="K199" s="25">
        <f t="shared" si="3"/>
        <v>0</v>
      </c>
    </row>
    <row r="200" spans="1:11" ht="15.95" customHeight="1" x14ac:dyDescent="0.2">
      <c r="A200" s="156" t="s">
        <v>381</v>
      </c>
      <c r="B200" s="369" t="s">
        <v>382</v>
      </c>
      <c r="C200" s="370"/>
      <c r="D200" s="370"/>
      <c r="E200" s="177">
        <v>-265.91000000000003</v>
      </c>
      <c r="F200" s="177">
        <v>0</v>
      </c>
      <c r="G200" s="25"/>
      <c r="H200" s="177">
        <v>0</v>
      </c>
      <c r="I200" s="25"/>
      <c r="J200" s="177">
        <v>-265.91000000000003</v>
      </c>
      <c r="K200" s="25">
        <f t="shared" si="3"/>
        <v>0</v>
      </c>
    </row>
    <row r="201" spans="1:11" ht="15.95" customHeight="1" x14ac:dyDescent="0.2">
      <c r="A201" s="156" t="s">
        <v>383</v>
      </c>
      <c r="B201" s="369" t="s">
        <v>384</v>
      </c>
      <c r="C201" s="370"/>
      <c r="D201" s="370"/>
      <c r="E201" s="177">
        <v>-87964.72</v>
      </c>
      <c r="F201" s="177">
        <v>0</v>
      </c>
      <c r="G201" s="25"/>
      <c r="H201" s="177">
        <v>0</v>
      </c>
      <c r="I201" s="25"/>
      <c r="J201" s="177">
        <v>-87964.72</v>
      </c>
      <c r="K201" s="25">
        <f t="shared" si="3"/>
        <v>0</v>
      </c>
    </row>
    <row r="202" spans="1:11" ht="15.95" customHeight="1" x14ac:dyDescent="0.2">
      <c r="A202" s="156" t="s">
        <v>385</v>
      </c>
      <c r="B202" s="369" t="s">
        <v>386</v>
      </c>
      <c r="C202" s="370"/>
      <c r="D202" s="370"/>
      <c r="E202" s="177">
        <v>-1308138.05</v>
      </c>
      <c r="F202" s="177">
        <v>0</v>
      </c>
      <c r="G202" s="25"/>
      <c r="H202" s="177">
        <v>0</v>
      </c>
      <c r="I202" s="25"/>
      <c r="J202" s="177">
        <v>-1308138.05</v>
      </c>
      <c r="K202" s="25">
        <f t="shared" si="3"/>
        <v>0</v>
      </c>
    </row>
    <row r="203" spans="1:11" ht="15.95" customHeight="1" x14ac:dyDescent="0.2">
      <c r="A203" s="156" t="s">
        <v>387</v>
      </c>
      <c r="B203" s="369" t="s">
        <v>388</v>
      </c>
      <c r="C203" s="370"/>
      <c r="D203" s="370"/>
      <c r="E203" s="177">
        <v>-5840.17</v>
      </c>
      <c r="F203" s="177">
        <v>0</v>
      </c>
      <c r="G203" s="25"/>
      <c r="H203" s="177">
        <v>0</v>
      </c>
      <c r="I203" s="25"/>
      <c r="J203" s="177">
        <v>-5840.17</v>
      </c>
      <c r="K203" s="25">
        <f t="shared" si="3"/>
        <v>0</v>
      </c>
    </row>
    <row r="204" spans="1:11" ht="15.95" customHeight="1" x14ac:dyDescent="0.2">
      <c r="A204" s="156" t="s">
        <v>389</v>
      </c>
      <c r="B204" s="369" t="s">
        <v>390</v>
      </c>
      <c r="C204" s="370"/>
      <c r="D204" s="370"/>
      <c r="E204" s="177">
        <v>-385902.97</v>
      </c>
      <c r="F204" s="177">
        <v>0</v>
      </c>
      <c r="G204" s="25"/>
      <c r="H204" s="177">
        <v>0</v>
      </c>
      <c r="I204" s="25"/>
      <c r="J204" s="177">
        <v>-385902.97</v>
      </c>
      <c r="K204" s="25">
        <f t="shared" si="3"/>
        <v>0</v>
      </c>
    </row>
    <row r="205" spans="1:11" ht="15.95" customHeight="1" x14ac:dyDescent="0.2">
      <c r="A205" s="156" t="s">
        <v>391</v>
      </c>
      <c r="B205" s="369" t="s">
        <v>392</v>
      </c>
      <c r="C205" s="370"/>
      <c r="D205" s="370"/>
      <c r="E205" s="177">
        <v>-17386.990000000002</v>
      </c>
      <c r="F205" s="177">
        <v>0</v>
      </c>
      <c r="G205" s="25"/>
      <c r="H205" s="177">
        <v>0</v>
      </c>
      <c r="I205" s="25"/>
      <c r="J205" s="177">
        <v>-17386.990000000002</v>
      </c>
      <c r="K205" s="25">
        <f t="shared" si="3"/>
        <v>0</v>
      </c>
    </row>
    <row r="206" spans="1:11" ht="15.95" customHeight="1" x14ac:dyDescent="0.2">
      <c r="A206" s="156" t="s">
        <v>393</v>
      </c>
      <c r="B206" s="369" t="s">
        <v>394</v>
      </c>
      <c r="C206" s="370"/>
      <c r="D206" s="370"/>
      <c r="E206" s="177">
        <v>-56188.26</v>
      </c>
      <c r="F206" s="177">
        <v>0</v>
      </c>
      <c r="G206" s="25"/>
      <c r="H206" s="177">
        <v>0</v>
      </c>
      <c r="I206" s="25"/>
      <c r="J206" s="177">
        <v>-56188.26</v>
      </c>
      <c r="K206" s="25">
        <f t="shared" si="3"/>
        <v>0</v>
      </c>
    </row>
    <row r="207" spans="1:11" ht="15.95" customHeight="1" x14ac:dyDescent="0.2">
      <c r="A207" s="156" t="s">
        <v>395</v>
      </c>
      <c r="B207" s="369" t="s">
        <v>396</v>
      </c>
      <c r="C207" s="370"/>
      <c r="D207" s="370"/>
      <c r="E207" s="177">
        <v>-29270.35</v>
      </c>
      <c r="F207" s="177">
        <v>0</v>
      </c>
      <c r="G207" s="25"/>
      <c r="H207" s="177">
        <v>0</v>
      </c>
      <c r="I207" s="25"/>
      <c r="J207" s="177">
        <v>-29270.35</v>
      </c>
      <c r="K207" s="25">
        <f t="shared" si="3"/>
        <v>0</v>
      </c>
    </row>
    <row r="208" spans="1:11" ht="15.95" customHeight="1" x14ac:dyDescent="0.2">
      <c r="A208" s="156" t="s">
        <v>397</v>
      </c>
      <c r="B208" s="369" t="s">
        <v>398</v>
      </c>
      <c r="C208" s="370"/>
      <c r="D208" s="370"/>
      <c r="E208" s="177">
        <v>-233107.8</v>
      </c>
      <c r="F208" s="177">
        <v>0</v>
      </c>
      <c r="G208" s="25"/>
      <c r="H208" s="177">
        <v>0</v>
      </c>
      <c r="I208" s="25"/>
      <c r="J208" s="177">
        <v>-233107.8</v>
      </c>
      <c r="K208" s="25">
        <f t="shared" si="3"/>
        <v>0</v>
      </c>
    </row>
    <row r="209" spans="1:11" ht="15.95" customHeight="1" x14ac:dyDescent="0.2">
      <c r="A209" s="156">
        <v>12399</v>
      </c>
      <c r="B209" s="369" t="s">
        <v>399</v>
      </c>
      <c r="C209" s="370"/>
      <c r="D209" s="370"/>
      <c r="E209" s="177">
        <v>-93583495.219999999</v>
      </c>
      <c r="F209" s="177">
        <v>592754.09</v>
      </c>
      <c r="G209" s="25"/>
      <c r="H209" s="177">
        <v>11707200.84</v>
      </c>
      <c r="I209" s="25"/>
      <c r="J209" s="177">
        <v>-104697941.97</v>
      </c>
      <c r="K209" s="25">
        <f t="shared" si="3"/>
        <v>-11114446.75</v>
      </c>
    </row>
    <row r="210" spans="1:11" ht="15.95" customHeight="1" x14ac:dyDescent="0.2">
      <c r="A210" s="156">
        <v>1239901</v>
      </c>
      <c r="B210" s="369" t="s">
        <v>400</v>
      </c>
      <c r="C210" s="370"/>
      <c r="D210" s="370"/>
      <c r="E210" s="177">
        <v>-6785062</v>
      </c>
      <c r="F210" s="177">
        <v>0</v>
      </c>
      <c r="G210" s="25"/>
      <c r="H210" s="177">
        <v>958218.56</v>
      </c>
      <c r="I210" s="25"/>
      <c r="J210" s="177">
        <v>-7743280.5599999996</v>
      </c>
      <c r="K210" s="25">
        <f t="shared" si="3"/>
        <v>-958218.55999999959</v>
      </c>
    </row>
    <row r="211" spans="1:11" ht="15.95" customHeight="1" x14ac:dyDescent="0.2">
      <c r="A211" s="156" t="s">
        <v>401</v>
      </c>
      <c r="B211" s="369" t="s">
        <v>277</v>
      </c>
      <c r="C211" s="370"/>
      <c r="D211" s="370"/>
      <c r="E211" s="177">
        <v>-63718.080000000002</v>
      </c>
      <c r="F211" s="177">
        <v>0</v>
      </c>
      <c r="G211" s="25"/>
      <c r="H211" s="177">
        <v>228.33</v>
      </c>
      <c r="I211" s="25"/>
      <c r="J211" s="177">
        <v>-63946.41</v>
      </c>
      <c r="K211" s="25">
        <f t="shared" si="3"/>
        <v>-228.33000000000175</v>
      </c>
    </row>
    <row r="212" spans="1:11" ht="15.95" customHeight="1" x14ac:dyDescent="0.2">
      <c r="A212" s="156" t="s">
        <v>402</v>
      </c>
      <c r="B212" s="369" t="s">
        <v>279</v>
      </c>
      <c r="C212" s="370"/>
      <c r="D212" s="370"/>
      <c r="E212" s="177">
        <v>-12832.06</v>
      </c>
      <c r="F212" s="177">
        <v>0</v>
      </c>
      <c r="G212" s="25"/>
      <c r="H212" s="177">
        <v>0</v>
      </c>
      <c r="I212" s="25"/>
      <c r="J212" s="177">
        <v>-12832.06</v>
      </c>
      <c r="K212" s="25">
        <f t="shared" si="3"/>
        <v>0</v>
      </c>
    </row>
    <row r="213" spans="1:11" ht="15.95" customHeight="1" x14ac:dyDescent="0.2">
      <c r="A213" s="156" t="s">
        <v>403</v>
      </c>
      <c r="B213" s="369" t="s">
        <v>281</v>
      </c>
      <c r="C213" s="370"/>
      <c r="D213" s="370"/>
      <c r="E213" s="177">
        <v>-1049504.7</v>
      </c>
      <c r="F213" s="177">
        <v>0</v>
      </c>
      <c r="G213" s="25"/>
      <c r="H213" s="177">
        <v>87412.32</v>
      </c>
      <c r="I213" s="25"/>
      <c r="J213" s="177">
        <v>-1136917.02</v>
      </c>
      <c r="K213" s="25">
        <f t="shared" si="3"/>
        <v>-87412.320000000065</v>
      </c>
    </row>
    <row r="214" spans="1:11" ht="15.95" customHeight="1" x14ac:dyDescent="0.2">
      <c r="A214" s="156" t="s">
        <v>404</v>
      </c>
      <c r="B214" s="369" t="s">
        <v>283</v>
      </c>
      <c r="C214" s="370"/>
      <c r="D214" s="370"/>
      <c r="E214" s="177">
        <v>-3002342.31</v>
      </c>
      <c r="F214" s="177">
        <v>0</v>
      </c>
      <c r="G214" s="25"/>
      <c r="H214" s="177">
        <v>726831.36</v>
      </c>
      <c r="I214" s="25"/>
      <c r="J214" s="177">
        <v>-3729173.67</v>
      </c>
      <c r="K214" s="25">
        <f t="shared" si="3"/>
        <v>-726831.35999999987</v>
      </c>
    </row>
    <row r="215" spans="1:11" ht="15.95" customHeight="1" x14ac:dyDescent="0.2">
      <c r="A215" s="156" t="s">
        <v>405</v>
      </c>
      <c r="B215" s="369" t="s">
        <v>285</v>
      </c>
      <c r="C215" s="370"/>
      <c r="D215" s="370"/>
      <c r="E215" s="177">
        <v>-618975.63</v>
      </c>
      <c r="F215" s="177">
        <v>0</v>
      </c>
      <c r="G215" s="25"/>
      <c r="H215" s="177">
        <v>11904.27</v>
      </c>
      <c r="I215" s="25"/>
      <c r="J215" s="177">
        <v>-630879.9</v>
      </c>
      <c r="K215" s="25">
        <f t="shared" si="3"/>
        <v>-11904.270000000019</v>
      </c>
    </row>
    <row r="216" spans="1:11" ht="15.95" customHeight="1" x14ac:dyDescent="0.2">
      <c r="A216" s="156" t="s">
        <v>406</v>
      </c>
      <c r="B216" s="369" t="s">
        <v>289</v>
      </c>
      <c r="C216" s="370"/>
      <c r="D216" s="370"/>
      <c r="E216" s="177">
        <v>-1228147.96</v>
      </c>
      <c r="F216" s="177">
        <v>0</v>
      </c>
      <c r="G216" s="25"/>
      <c r="H216" s="177">
        <v>5080.09</v>
      </c>
      <c r="I216" s="25"/>
      <c r="J216" s="177">
        <v>-1233228.05</v>
      </c>
      <c r="K216" s="25">
        <f t="shared" si="3"/>
        <v>-5080.0900000000838</v>
      </c>
    </row>
    <row r="217" spans="1:11" ht="15.95" customHeight="1" x14ac:dyDescent="0.2">
      <c r="A217" s="156" t="s">
        <v>407</v>
      </c>
      <c r="B217" s="369" t="s">
        <v>287</v>
      </c>
      <c r="C217" s="370"/>
      <c r="D217" s="370"/>
      <c r="E217" s="177">
        <v>-76252.39</v>
      </c>
      <c r="F217" s="177">
        <v>0</v>
      </c>
      <c r="G217" s="25"/>
      <c r="H217" s="177">
        <v>8535.83</v>
      </c>
      <c r="I217" s="25"/>
      <c r="J217" s="177">
        <v>-84788.22</v>
      </c>
      <c r="K217" s="25">
        <f t="shared" si="3"/>
        <v>-8535.8300000000017</v>
      </c>
    </row>
    <row r="218" spans="1:11" ht="27.95" customHeight="1" x14ac:dyDescent="0.2">
      <c r="A218" s="156" t="s">
        <v>408</v>
      </c>
      <c r="B218" s="369" t="s">
        <v>291</v>
      </c>
      <c r="C218" s="370"/>
      <c r="D218" s="370"/>
      <c r="E218" s="177">
        <v>-673322.26</v>
      </c>
      <c r="F218" s="177">
        <v>0</v>
      </c>
      <c r="G218" s="25"/>
      <c r="H218" s="177">
        <v>28780.58</v>
      </c>
      <c r="I218" s="25"/>
      <c r="J218" s="177">
        <v>-702102.84</v>
      </c>
      <c r="K218" s="25">
        <f t="shared" si="3"/>
        <v>-28780.579999999958</v>
      </c>
    </row>
    <row r="219" spans="1:11" ht="15.95" customHeight="1" x14ac:dyDescent="0.2">
      <c r="A219" s="156" t="s">
        <v>409</v>
      </c>
      <c r="B219" s="369" t="s">
        <v>410</v>
      </c>
      <c r="C219" s="370"/>
      <c r="D219" s="370"/>
      <c r="E219" s="177">
        <v>-10770.26</v>
      </c>
      <c r="F219" s="177">
        <v>0</v>
      </c>
      <c r="G219" s="25"/>
      <c r="H219" s="177">
        <v>892.35</v>
      </c>
      <c r="I219" s="25"/>
      <c r="J219" s="177">
        <v>-11662.61</v>
      </c>
      <c r="K219" s="25">
        <f t="shared" si="3"/>
        <v>-892.35000000000036</v>
      </c>
    </row>
    <row r="220" spans="1:11" ht="15.95" customHeight="1" x14ac:dyDescent="0.2">
      <c r="A220" s="156" t="s">
        <v>411</v>
      </c>
      <c r="B220" s="369" t="s">
        <v>295</v>
      </c>
      <c r="C220" s="370"/>
      <c r="D220" s="370"/>
      <c r="E220" s="177">
        <v>-49196.35</v>
      </c>
      <c r="F220" s="177">
        <v>0</v>
      </c>
      <c r="G220" s="25"/>
      <c r="H220" s="177">
        <v>88553.43</v>
      </c>
      <c r="I220" s="25"/>
      <c r="J220" s="177">
        <v>-137749.78</v>
      </c>
      <c r="K220" s="25">
        <f t="shared" si="3"/>
        <v>-88553.43</v>
      </c>
    </row>
    <row r="221" spans="1:11" ht="15.95" customHeight="1" x14ac:dyDescent="0.2">
      <c r="A221" s="156">
        <v>1239902</v>
      </c>
      <c r="B221" s="369" t="s">
        <v>412</v>
      </c>
      <c r="C221" s="370"/>
      <c r="D221" s="370"/>
      <c r="E221" s="177">
        <v>-62790369.060000002</v>
      </c>
      <c r="F221" s="177">
        <v>0</v>
      </c>
      <c r="G221" s="25"/>
      <c r="H221" s="177">
        <v>3229797.23</v>
      </c>
      <c r="I221" s="25"/>
      <c r="J221" s="177">
        <v>-66020166.289999999</v>
      </c>
      <c r="K221" s="25">
        <f t="shared" si="3"/>
        <v>-3229797.2299999967</v>
      </c>
    </row>
    <row r="222" spans="1:11" ht="15.95" customHeight="1" x14ac:dyDescent="0.2">
      <c r="A222" s="156" t="s">
        <v>413</v>
      </c>
      <c r="B222" s="369" t="s">
        <v>300</v>
      </c>
      <c r="C222" s="370"/>
      <c r="D222" s="370"/>
      <c r="E222" s="177">
        <v>-6844009.71</v>
      </c>
      <c r="F222" s="177">
        <v>0</v>
      </c>
      <c r="G222" s="25"/>
      <c r="H222" s="177">
        <v>346055.08</v>
      </c>
      <c r="I222" s="25"/>
      <c r="J222" s="177">
        <v>-7190064.79</v>
      </c>
      <c r="K222" s="25">
        <f t="shared" si="3"/>
        <v>-346055.08000000007</v>
      </c>
    </row>
    <row r="223" spans="1:11" ht="15.95" customHeight="1" x14ac:dyDescent="0.2">
      <c r="A223" s="156" t="s">
        <v>414</v>
      </c>
      <c r="B223" s="369" t="s">
        <v>302</v>
      </c>
      <c r="C223" s="370"/>
      <c r="D223" s="370"/>
      <c r="E223" s="177">
        <v>-4450.58</v>
      </c>
      <c r="F223" s="177">
        <v>0</v>
      </c>
      <c r="G223" s="25"/>
      <c r="H223" s="177">
        <v>0</v>
      </c>
      <c r="I223" s="25"/>
      <c r="J223" s="177">
        <v>-4450.58</v>
      </c>
      <c r="K223" s="25">
        <f t="shared" si="3"/>
        <v>0</v>
      </c>
    </row>
    <row r="224" spans="1:11" ht="15.95" customHeight="1" x14ac:dyDescent="0.2">
      <c r="A224" s="156" t="s">
        <v>415</v>
      </c>
      <c r="B224" s="369" t="s">
        <v>304</v>
      </c>
      <c r="C224" s="370"/>
      <c r="D224" s="370"/>
      <c r="E224" s="177">
        <v>-882055.02</v>
      </c>
      <c r="F224" s="177">
        <v>0</v>
      </c>
      <c r="G224" s="25"/>
      <c r="H224" s="177">
        <v>581025.42000000004</v>
      </c>
      <c r="I224" s="25"/>
      <c r="J224" s="177">
        <v>-1463080.44</v>
      </c>
      <c r="K224" s="25">
        <f t="shared" si="3"/>
        <v>-581025.41999999993</v>
      </c>
    </row>
    <row r="225" spans="1:11" ht="15.95" customHeight="1" x14ac:dyDescent="0.2">
      <c r="A225" s="156" t="s">
        <v>416</v>
      </c>
      <c r="B225" s="369" t="s">
        <v>306</v>
      </c>
      <c r="C225" s="370"/>
      <c r="D225" s="370"/>
      <c r="E225" s="177">
        <v>-34562059.960000001</v>
      </c>
      <c r="F225" s="177">
        <v>0</v>
      </c>
      <c r="G225" s="25"/>
      <c r="H225" s="177">
        <v>1121937.04</v>
      </c>
      <c r="I225" s="25"/>
      <c r="J225" s="177">
        <v>-35683997</v>
      </c>
      <c r="K225" s="25">
        <f t="shared" si="3"/>
        <v>-1121937.0399999991</v>
      </c>
    </row>
    <row r="226" spans="1:11" ht="15.95" customHeight="1" x14ac:dyDescent="0.2">
      <c r="A226" s="156" t="s">
        <v>417</v>
      </c>
      <c r="B226" s="369" t="s">
        <v>308</v>
      </c>
      <c r="C226" s="370"/>
      <c r="D226" s="370"/>
      <c r="E226" s="177">
        <v>-9953567.0099999998</v>
      </c>
      <c r="F226" s="177">
        <v>0</v>
      </c>
      <c r="G226" s="25"/>
      <c r="H226" s="177">
        <v>517528.26</v>
      </c>
      <c r="I226" s="25"/>
      <c r="J226" s="177">
        <v>-10471095.27</v>
      </c>
      <c r="K226" s="25">
        <f t="shared" si="3"/>
        <v>-517528.25999999978</v>
      </c>
    </row>
    <row r="227" spans="1:11" ht="15.95" customHeight="1" x14ac:dyDescent="0.2">
      <c r="A227" s="156" t="s">
        <v>418</v>
      </c>
      <c r="B227" s="369" t="s">
        <v>310</v>
      </c>
      <c r="C227" s="370"/>
      <c r="D227" s="370"/>
      <c r="E227" s="177">
        <v>-462595.76</v>
      </c>
      <c r="F227" s="177">
        <v>0</v>
      </c>
      <c r="G227" s="25"/>
      <c r="H227" s="177">
        <v>16088.19</v>
      </c>
      <c r="I227" s="25"/>
      <c r="J227" s="177">
        <v>-478683.95</v>
      </c>
      <c r="K227" s="25">
        <f t="shared" si="3"/>
        <v>-16088.190000000002</v>
      </c>
    </row>
    <row r="228" spans="1:11" ht="15.95" customHeight="1" x14ac:dyDescent="0.2">
      <c r="A228" s="156" t="s">
        <v>419</v>
      </c>
      <c r="B228" s="369" t="s">
        <v>312</v>
      </c>
      <c r="C228" s="370"/>
      <c r="D228" s="370"/>
      <c r="E228" s="177">
        <v>-95202.46</v>
      </c>
      <c r="F228" s="177">
        <v>0</v>
      </c>
      <c r="G228" s="25"/>
      <c r="H228" s="177">
        <v>0</v>
      </c>
      <c r="I228" s="25"/>
      <c r="J228" s="177">
        <v>-95202.46</v>
      </c>
      <c r="K228" s="25">
        <f t="shared" si="3"/>
        <v>0</v>
      </c>
    </row>
    <row r="229" spans="1:11" ht="15.95" customHeight="1" x14ac:dyDescent="0.2">
      <c r="A229" s="156" t="s">
        <v>420</v>
      </c>
      <c r="B229" s="369" t="s">
        <v>316</v>
      </c>
      <c r="C229" s="370"/>
      <c r="D229" s="370"/>
      <c r="E229" s="177">
        <v>-5774334.9000000004</v>
      </c>
      <c r="F229" s="177">
        <v>0</v>
      </c>
      <c r="G229" s="25"/>
      <c r="H229" s="177">
        <v>308819.99</v>
      </c>
      <c r="I229" s="25"/>
      <c r="J229" s="177">
        <v>-6083154.8899999997</v>
      </c>
      <c r="K229" s="25">
        <f t="shared" si="3"/>
        <v>-308819.98999999929</v>
      </c>
    </row>
    <row r="230" spans="1:11" ht="15.95" customHeight="1" x14ac:dyDescent="0.2">
      <c r="A230" s="156" t="s">
        <v>421</v>
      </c>
      <c r="B230" s="369" t="s">
        <v>318</v>
      </c>
      <c r="C230" s="370"/>
      <c r="D230" s="370"/>
      <c r="E230" s="177">
        <v>-905338.24</v>
      </c>
      <c r="F230" s="177">
        <v>0</v>
      </c>
      <c r="G230" s="25"/>
      <c r="H230" s="177">
        <v>0</v>
      </c>
      <c r="I230" s="25"/>
      <c r="J230" s="177">
        <v>-905338.24</v>
      </c>
      <c r="K230" s="25">
        <f t="shared" si="3"/>
        <v>0</v>
      </c>
    </row>
    <row r="231" spans="1:11" ht="15.95" customHeight="1" x14ac:dyDescent="0.2">
      <c r="A231" s="156" t="s">
        <v>422</v>
      </c>
      <c r="B231" s="369" t="s">
        <v>320</v>
      </c>
      <c r="C231" s="370"/>
      <c r="D231" s="370"/>
      <c r="E231" s="177">
        <v>-397720.94</v>
      </c>
      <c r="F231" s="177">
        <v>0</v>
      </c>
      <c r="G231" s="25"/>
      <c r="H231" s="177">
        <v>31990.68</v>
      </c>
      <c r="I231" s="25"/>
      <c r="J231" s="177">
        <v>-429711.62</v>
      </c>
      <c r="K231" s="25">
        <f t="shared" si="3"/>
        <v>-31990.679999999993</v>
      </c>
    </row>
    <row r="232" spans="1:11" ht="15.95" customHeight="1" x14ac:dyDescent="0.2">
      <c r="A232" s="156" t="s">
        <v>423</v>
      </c>
      <c r="B232" s="369" t="s">
        <v>322</v>
      </c>
      <c r="C232" s="370"/>
      <c r="D232" s="370"/>
      <c r="E232" s="177">
        <v>-123943.43</v>
      </c>
      <c r="F232" s="177">
        <v>0</v>
      </c>
      <c r="G232" s="25"/>
      <c r="H232" s="177">
        <v>0</v>
      </c>
      <c r="I232" s="25"/>
      <c r="J232" s="177">
        <v>-123943.43</v>
      </c>
      <c r="K232" s="25">
        <f t="shared" si="3"/>
        <v>0</v>
      </c>
    </row>
    <row r="233" spans="1:11" ht="15.95" customHeight="1" x14ac:dyDescent="0.2">
      <c r="A233" s="156" t="s">
        <v>424</v>
      </c>
      <c r="B233" s="369" t="s">
        <v>425</v>
      </c>
      <c r="C233" s="370"/>
      <c r="D233" s="370"/>
      <c r="E233" s="177">
        <v>-13925.73</v>
      </c>
      <c r="F233" s="177">
        <v>0</v>
      </c>
      <c r="G233" s="25"/>
      <c r="H233" s="177">
        <v>0</v>
      </c>
      <c r="I233" s="25"/>
      <c r="J233" s="177">
        <v>-13925.73</v>
      </c>
      <c r="K233" s="25">
        <f t="shared" si="3"/>
        <v>0</v>
      </c>
    </row>
    <row r="234" spans="1:11" ht="15.95" customHeight="1" x14ac:dyDescent="0.2">
      <c r="A234" s="156" t="s">
        <v>426</v>
      </c>
      <c r="B234" s="369" t="s">
        <v>427</v>
      </c>
      <c r="C234" s="370"/>
      <c r="D234" s="370"/>
      <c r="E234" s="177">
        <v>-1970.82</v>
      </c>
      <c r="F234" s="177">
        <v>0</v>
      </c>
      <c r="G234" s="25"/>
      <c r="H234" s="177">
        <v>0</v>
      </c>
      <c r="I234" s="25"/>
      <c r="J234" s="177">
        <v>-1970.82</v>
      </c>
      <c r="K234" s="25">
        <f t="shared" si="3"/>
        <v>0</v>
      </c>
    </row>
    <row r="235" spans="1:11" ht="15.95" customHeight="1" x14ac:dyDescent="0.2">
      <c r="A235" s="156" t="s">
        <v>428</v>
      </c>
      <c r="B235" s="369" t="s">
        <v>429</v>
      </c>
      <c r="C235" s="370"/>
      <c r="D235" s="370"/>
      <c r="E235" s="177">
        <v>-463570.73</v>
      </c>
      <c r="F235" s="177">
        <v>0</v>
      </c>
      <c r="G235" s="25"/>
      <c r="H235" s="177">
        <v>4904.29</v>
      </c>
      <c r="I235" s="25"/>
      <c r="J235" s="177">
        <v>-468475.02</v>
      </c>
      <c r="K235" s="25">
        <f t="shared" si="3"/>
        <v>-4904.2900000000373</v>
      </c>
    </row>
    <row r="236" spans="1:11" ht="15.95" customHeight="1" x14ac:dyDescent="0.2">
      <c r="A236" s="156" t="s">
        <v>430</v>
      </c>
      <c r="B236" s="369" t="s">
        <v>431</v>
      </c>
      <c r="C236" s="370"/>
      <c r="D236" s="370"/>
      <c r="E236" s="177">
        <v>-1139444.5900000001</v>
      </c>
      <c r="F236" s="177">
        <v>0</v>
      </c>
      <c r="G236" s="25"/>
      <c r="H236" s="177">
        <v>24480.03</v>
      </c>
      <c r="I236" s="25"/>
      <c r="J236" s="177">
        <v>-1163924.6200000001</v>
      </c>
      <c r="K236" s="25">
        <f t="shared" si="3"/>
        <v>-24480.030000000028</v>
      </c>
    </row>
    <row r="237" spans="1:11" ht="15.95" customHeight="1" x14ac:dyDescent="0.2">
      <c r="A237" s="156" t="s">
        <v>432</v>
      </c>
      <c r="B237" s="369" t="s">
        <v>336</v>
      </c>
      <c r="C237" s="370"/>
      <c r="D237" s="370"/>
      <c r="E237" s="177">
        <v>-1041793.03</v>
      </c>
      <c r="F237" s="177">
        <v>0</v>
      </c>
      <c r="G237" s="25"/>
      <c r="H237" s="177">
        <v>117043.2</v>
      </c>
      <c r="I237" s="25"/>
      <c r="J237" s="177">
        <v>-1158836.23</v>
      </c>
      <c r="K237" s="25">
        <f t="shared" si="3"/>
        <v>-117043.19999999995</v>
      </c>
    </row>
    <row r="238" spans="1:11" ht="15.95" customHeight="1" x14ac:dyDescent="0.2">
      <c r="A238" s="156" t="s">
        <v>433</v>
      </c>
      <c r="B238" s="369" t="s">
        <v>338</v>
      </c>
      <c r="C238" s="370"/>
      <c r="D238" s="370"/>
      <c r="E238" s="177">
        <v>-124386.15</v>
      </c>
      <c r="F238" s="177">
        <v>0</v>
      </c>
      <c r="G238" s="25"/>
      <c r="H238" s="177">
        <v>159925.04999999999</v>
      </c>
      <c r="I238" s="25"/>
      <c r="J238" s="177">
        <v>-284311.2</v>
      </c>
      <c r="K238" s="25">
        <f t="shared" si="3"/>
        <v>-159925.05000000002</v>
      </c>
    </row>
    <row r="239" spans="1:11" ht="15.95" customHeight="1" x14ac:dyDescent="0.2">
      <c r="A239" s="156">
        <v>1239903</v>
      </c>
      <c r="B239" s="369" t="s">
        <v>434</v>
      </c>
      <c r="C239" s="370"/>
      <c r="D239" s="370"/>
      <c r="E239" s="177">
        <v>6594335.6600000001</v>
      </c>
      <c r="F239" s="177">
        <v>592754.09</v>
      </c>
      <c r="G239" s="25"/>
      <c r="H239" s="177">
        <v>73688.990000000005</v>
      </c>
      <c r="I239" s="25"/>
      <c r="J239" s="177">
        <v>7113400.7599999998</v>
      </c>
      <c r="K239" s="25">
        <f t="shared" si="3"/>
        <v>519065.09999999963</v>
      </c>
    </row>
    <row r="240" spans="1:11" ht="15.95" customHeight="1" x14ac:dyDescent="0.2">
      <c r="A240" s="156" t="s">
        <v>435</v>
      </c>
      <c r="B240" s="369" t="s">
        <v>300</v>
      </c>
      <c r="C240" s="370"/>
      <c r="D240" s="370"/>
      <c r="E240" s="177">
        <v>1599777.6</v>
      </c>
      <c r="F240" s="177">
        <v>147812.32</v>
      </c>
      <c r="G240" s="25"/>
      <c r="H240" s="177">
        <v>18208.169999999998</v>
      </c>
      <c r="I240" s="25"/>
      <c r="J240" s="177">
        <v>1729381.75</v>
      </c>
      <c r="K240" s="25">
        <f t="shared" si="3"/>
        <v>129604.14999999991</v>
      </c>
    </row>
    <row r="241" spans="1:11" ht="15.95" customHeight="1" x14ac:dyDescent="0.2">
      <c r="A241" s="156" t="s">
        <v>436</v>
      </c>
      <c r="B241" s="369" t="s">
        <v>304</v>
      </c>
      <c r="C241" s="370"/>
      <c r="D241" s="370"/>
      <c r="E241" s="177">
        <v>212918.48</v>
      </c>
      <c r="F241" s="177">
        <v>117072.64</v>
      </c>
      <c r="G241" s="25"/>
      <c r="H241" s="177">
        <v>14508.83</v>
      </c>
      <c r="I241" s="25"/>
      <c r="J241" s="177">
        <v>315482.28999999998</v>
      </c>
      <c r="K241" s="25">
        <f t="shared" si="3"/>
        <v>102563.80999999997</v>
      </c>
    </row>
    <row r="242" spans="1:11" ht="15.95" customHeight="1" x14ac:dyDescent="0.2">
      <c r="A242" s="156" t="s">
        <v>437</v>
      </c>
      <c r="B242" s="369" t="s">
        <v>306</v>
      </c>
      <c r="C242" s="370"/>
      <c r="D242" s="370"/>
      <c r="E242" s="177">
        <v>4765989.09</v>
      </c>
      <c r="F242" s="177">
        <v>327869.13</v>
      </c>
      <c r="G242" s="25"/>
      <c r="H242" s="177">
        <v>40971.99</v>
      </c>
      <c r="I242" s="25"/>
      <c r="J242" s="177">
        <v>5052886.2300000004</v>
      </c>
      <c r="K242" s="25">
        <f t="shared" si="3"/>
        <v>286897.1400000006</v>
      </c>
    </row>
    <row r="243" spans="1:11" ht="15.95" customHeight="1" x14ac:dyDescent="0.2">
      <c r="A243" s="156" t="s">
        <v>438</v>
      </c>
      <c r="B243" s="369" t="s">
        <v>318</v>
      </c>
      <c r="C243" s="370"/>
      <c r="D243" s="370"/>
      <c r="E243" s="177">
        <v>15650.49</v>
      </c>
      <c r="F243" s="177">
        <v>0</v>
      </c>
      <c r="G243" s="25"/>
      <c r="H243" s="177">
        <v>0</v>
      </c>
      <c r="I243" s="25"/>
      <c r="J243" s="177">
        <v>15650.49</v>
      </c>
      <c r="K243" s="25">
        <f t="shared" si="3"/>
        <v>0</v>
      </c>
    </row>
    <row r="244" spans="1:11" ht="15.95" customHeight="1" x14ac:dyDescent="0.2">
      <c r="A244" s="156">
        <v>1239904</v>
      </c>
      <c r="B244" s="369" t="s">
        <v>439</v>
      </c>
      <c r="C244" s="370"/>
      <c r="D244" s="370"/>
      <c r="E244" s="177">
        <v>-30602399.82</v>
      </c>
      <c r="F244" s="177">
        <v>0</v>
      </c>
      <c r="G244" s="25"/>
      <c r="H244" s="177">
        <v>7445496.0599999996</v>
      </c>
      <c r="I244" s="25"/>
      <c r="J244" s="177">
        <v>-38047895.880000003</v>
      </c>
      <c r="K244" s="25">
        <f t="shared" si="3"/>
        <v>-7445496.0600000024</v>
      </c>
    </row>
    <row r="245" spans="1:11" ht="15.95" customHeight="1" x14ac:dyDescent="0.2">
      <c r="A245" s="156" t="s">
        <v>440</v>
      </c>
      <c r="B245" s="369" t="s">
        <v>441</v>
      </c>
      <c r="C245" s="370"/>
      <c r="D245" s="370"/>
      <c r="E245" s="177">
        <v>-28603968.030000001</v>
      </c>
      <c r="F245" s="177">
        <v>0</v>
      </c>
      <c r="G245" s="25"/>
      <c r="H245" s="177">
        <v>6959391.0300000003</v>
      </c>
      <c r="I245" s="25"/>
      <c r="J245" s="177">
        <v>-35563359.060000002</v>
      </c>
      <c r="K245" s="25">
        <f t="shared" si="3"/>
        <v>-6959391.0300000012</v>
      </c>
    </row>
    <row r="246" spans="1:11" ht="15.95" customHeight="1" x14ac:dyDescent="0.2">
      <c r="A246" s="156" t="s">
        <v>442</v>
      </c>
      <c r="B246" s="369" t="s">
        <v>443</v>
      </c>
      <c r="C246" s="370"/>
      <c r="D246" s="370"/>
      <c r="E246" s="177">
        <v>-337310.5</v>
      </c>
      <c r="F246" s="177">
        <v>0</v>
      </c>
      <c r="G246" s="25"/>
      <c r="H246" s="177">
        <v>82048.5</v>
      </c>
      <c r="I246" s="25"/>
      <c r="J246" s="177">
        <v>-419359</v>
      </c>
      <c r="K246" s="25">
        <f t="shared" si="3"/>
        <v>-82048.5</v>
      </c>
    </row>
    <row r="247" spans="1:11" ht="15.95" customHeight="1" x14ac:dyDescent="0.2">
      <c r="A247" s="156" t="s">
        <v>444</v>
      </c>
      <c r="B247" s="369" t="s">
        <v>355</v>
      </c>
      <c r="C247" s="370"/>
      <c r="D247" s="370"/>
      <c r="E247" s="177">
        <v>-1089358.81</v>
      </c>
      <c r="F247" s="177">
        <v>0</v>
      </c>
      <c r="G247" s="25"/>
      <c r="H247" s="177">
        <v>264979.17</v>
      </c>
      <c r="I247" s="25"/>
      <c r="J247" s="177">
        <v>-1354337.98</v>
      </c>
      <c r="K247" s="25">
        <f t="shared" si="3"/>
        <v>-264979.16999999993</v>
      </c>
    </row>
    <row r="248" spans="1:11" ht="15.95" customHeight="1" x14ac:dyDescent="0.2">
      <c r="A248" s="156" t="s">
        <v>445</v>
      </c>
      <c r="B248" s="369" t="s">
        <v>357</v>
      </c>
      <c r="C248" s="370"/>
      <c r="D248" s="370"/>
      <c r="E248" s="177">
        <v>-4125.5</v>
      </c>
      <c r="F248" s="177">
        <v>0</v>
      </c>
      <c r="G248" s="25"/>
      <c r="H248" s="177">
        <v>1003.5</v>
      </c>
      <c r="I248" s="25"/>
      <c r="J248" s="177">
        <v>-5129</v>
      </c>
      <c r="K248" s="25">
        <f t="shared" si="3"/>
        <v>-1003.5</v>
      </c>
    </row>
    <row r="249" spans="1:11" ht="15.95" customHeight="1" x14ac:dyDescent="0.2">
      <c r="A249" s="156" t="s">
        <v>446</v>
      </c>
      <c r="B249" s="369" t="s">
        <v>447</v>
      </c>
      <c r="C249" s="370"/>
      <c r="D249" s="370"/>
      <c r="E249" s="177">
        <v>-567636.98</v>
      </c>
      <c r="F249" s="177">
        <v>0</v>
      </c>
      <c r="G249" s="25"/>
      <c r="H249" s="177">
        <v>138073.85999999999</v>
      </c>
      <c r="I249" s="25"/>
      <c r="J249" s="177">
        <v>-705710.84</v>
      </c>
      <c r="K249" s="25">
        <f t="shared" si="3"/>
        <v>-138073.85999999999</v>
      </c>
    </row>
    <row r="250" spans="1:11" ht="15.95" customHeight="1" x14ac:dyDescent="0.2">
      <c r="A250" s="156">
        <v>124</v>
      </c>
      <c r="B250" s="369" t="s">
        <v>448</v>
      </c>
      <c r="C250" s="370"/>
      <c r="D250" s="370"/>
      <c r="E250" s="177">
        <v>1004571.66</v>
      </c>
      <c r="F250" s="177">
        <v>229335</v>
      </c>
      <c r="G250" s="25"/>
      <c r="H250" s="177">
        <v>339994.82</v>
      </c>
      <c r="I250" s="25"/>
      <c r="J250" s="177">
        <v>893911.84</v>
      </c>
      <c r="K250" s="25">
        <f t="shared" si="3"/>
        <v>-110659.82000000007</v>
      </c>
    </row>
    <row r="251" spans="1:11" ht="15.95" customHeight="1" x14ac:dyDescent="0.2">
      <c r="A251" s="158">
        <v>12401</v>
      </c>
      <c r="B251" s="371" t="s">
        <v>448</v>
      </c>
      <c r="C251" s="372"/>
      <c r="D251" s="372"/>
      <c r="E251" s="178">
        <v>7580561.1799999997</v>
      </c>
      <c r="F251" s="178">
        <v>229335</v>
      </c>
      <c r="G251" s="31"/>
      <c r="H251" s="178">
        <v>0</v>
      </c>
      <c r="I251" s="31"/>
      <c r="J251" s="178">
        <v>7809896.1799999997</v>
      </c>
      <c r="K251" s="31">
        <f t="shared" si="3"/>
        <v>229335</v>
      </c>
    </row>
    <row r="252" spans="1:11" ht="15.95" customHeight="1" x14ac:dyDescent="0.2">
      <c r="A252" s="156">
        <v>1240101</v>
      </c>
      <c r="B252" s="369" t="s">
        <v>448</v>
      </c>
      <c r="C252" s="370"/>
      <c r="D252" s="370"/>
      <c r="E252" s="177">
        <v>7580561.1799999997</v>
      </c>
      <c r="F252" s="177">
        <v>229335</v>
      </c>
      <c r="G252" s="25"/>
      <c r="H252" s="177">
        <v>0</v>
      </c>
      <c r="I252" s="25"/>
      <c r="J252" s="177">
        <v>7809896.1799999997</v>
      </c>
      <c r="K252" s="25">
        <f t="shared" si="3"/>
        <v>229335</v>
      </c>
    </row>
    <row r="253" spans="1:11" ht="15.95" customHeight="1" x14ac:dyDescent="0.2">
      <c r="A253" s="156" t="s">
        <v>449</v>
      </c>
      <c r="B253" s="369" t="s">
        <v>450</v>
      </c>
      <c r="C253" s="370"/>
      <c r="D253" s="370"/>
      <c r="E253" s="177">
        <v>7580561.1799999997</v>
      </c>
      <c r="F253" s="177">
        <v>229335</v>
      </c>
      <c r="G253" s="25"/>
      <c r="H253" s="177">
        <v>0</v>
      </c>
      <c r="I253" s="25"/>
      <c r="J253" s="177">
        <v>7809896.1799999997</v>
      </c>
      <c r="K253" s="25">
        <f t="shared" si="3"/>
        <v>229335</v>
      </c>
    </row>
    <row r="254" spans="1:11" ht="15.95" customHeight="1" x14ac:dyDescent="0.2">
      <c r="A254" s="156">
        <v>12499</v>
      </c>
      <c r="B254" s="369" t="s">
        <v>451</v>
      </c>
      <c r="C254" s="370"/>
      <c r="D254" s="370"/>
      <c r="E254" s="177">
        <v>-6575989.5199999996</v>
      </c>
      <c r="F254" s="177">
        <v>0</v>
      </c>
      <c r="G254" s="25"/>
      <c r="H254" s="177">
        <v>339994.82</v>
      </c>
      <c r="I254" s="25"/>
      <c r="J254" s="177">
        <v>-6915984.3399999999</v>
      </c>
      <c r="K254" s="25">
        <f t="shared" si="3"/>
        <v>-339994.8200000003</v>
      </c>
    </row>
    <row r="255" spans="1:11" ht="15.95" customHeight="1" x14ac:dyDescent="0.2">
      <c r="A255" s="156">
        <v>1249901</v>
      </c>
      <c r="B255" s="369" t="s">
        <v>451</v>
      </c>
      <c r="C255" s="370"/>
      <c r="D255" s="370"/>
      <c r="E255" s="177">
        <v>-6574460.2400000002</v>
      </c>
      <c r="F255" s="177">
        <v>0</v>
      </c>
      <c r="G255" s="25"/>
      <c r="H255" s="177">
        <v>339994.82</v>
      </c>
      <c r="I255" s="25"/>
      <c r="J255" s="177">
        <v>-6914455.0599999996</v>
      </c>
      <c r="K255" s="25">
        <f t="shared" si="3"/>
        <v>-339994.81999999937</v>
      </c>
    </row>
    <row r="256" spans="1:11" ht="15.95" customHeight="1" x14ac:dyDescent="0.2">
      <c r="A256" s="156" t="s">
        <v>452</v>
      </c>
      <c r="B256" s="369" t="s">
        <v>450</v>
      </c>
      <c r="C256" s="370"/>
      <c r="D256" s="370"/>
      <c r="E256" s="177">
        <v>-6574460.2400000002</v>
      </c>
      <c r="F256" s="177">
        <v>0</v>
      </c>
      <c r="G256" s="25"/>
      <c r="H256" s="177">
        <v>339994.82</v>
      </c>
      <c r="I256" s="25"/>
      <c r="J256" s="177">
        <v>-6914455.0599999996</v>
      </c>
      <c r="K256" s="25">
        <f t="shared" si="3"/>
        <v>-339994.81999999937</v>
      </c>
    </row>
    <row r="257" spans="1:11" ht="15.95" customHeight="1" x14ac:dyDescent="0.2">
      <c r="A257" s="156">
        <v>1249902</v>
      </c>
      <c r="B257" s="369" t="s">
        <v>453</v>
      </c>
      <c r="C257" s="370"/>
      <c r="D257" s="370"/>
      <c r="E257" s="177">
        <v>-1529.28</v>
      </c>
      <c r="F257" s="177">
        <v>0</v>
      </c>
      <c r="G257" s="25"/>
      <c r="H257" s="177">
        <v>0</v>
      </c>
      <c r="I257" s="25"/>
      <c r="J257" s="177">
        <v>-1529.28</v>
      </c>
      <c r="K257" s="25">
        <f t="shared" si="3"/>
        <v>0</v>
      </c>
    </row>
    <row r="258" spans="1:11" ht="15.95" customHeight="1" x14ac:dyDescent="0.2">
      <c r="A258" s="156" t="s">
        <v>454</v>
      </c>
      <c r="B258" s="369" t="s">
        <v>453</v>
      </c>
      <c r="C258" s="370"/>
      <c r="D258" s="370"/>
      <c r="E258" s="177">
        <v>-1529.28</v>
      </c>
      <c r="F258" s="177">
        <v>0</v>
      </c>
      <c r="G258" s="25"/>
      <c r="H258" s="177">
        <v>0</v>
      </c>
      <c r="I258" s="25"/>
      <c r="J258" s="177">
        <v>-1529.28</v>
      </c>
      <c r="K258" s="25">
        <f t="shared" si="3"/>
        <v>0</v>
      </c>
    </row>
    <row r="259" spans="1:11" ht="15.95" customHeight="1" x14ac:dyDescent="0.2">
      <c r="A259" s="156">
        <v>13</v>
      </c>
      <c r="B259" s="369" t="s">
        <v>455</v>
      </c>
      <c r="C259" s="370"/>
      <c r="D259" s="370"/>
      <c r="E259" s="177">
        <v>1236717.49</v>
      </c>
      <c r="F259" s="177">
        <v>0</v>
      </c>
      <c r="G259" s="25"/>
      <c r="H259" s="177">
        <v>0</v>
      </c>
      <c r="I259" s="25"/>
      <c r="J259" s="177">
        <v>1236717.49</v>
      </c>
      <c r="K259" s="25">
        <f t="shared" si="3"/>
        <v>0</v>
      </c>
    </row>
    <row r="260" spans="1:11" ht="15.95" customHeight="1" x14ac:dyDescent="0.2">
      <c r="A260" s="156">
        <v>131</v>
      </c>
      <c r="B260" s="369" t="s">
        <v>456</v>
      </c>
      <c r="C260" s="370"/>
      <c r="D260" s="370"/>
      <c r="E260" s="177">
        <v>1236717.49</v>
      </c>
      <c r="F260" s="177">
        <v>0</v>
      </c>
      <c r="G260" s="25"/>
      <c r="H260" s="177">
        <v>0</v>
      </c>
      <c r="I260" s="25"/>
      <c r="J260" s="177">
        <v>1236717.49</v>
      </c>
      <c r="K260" s="25">
        <f t="shared" ref="K260:K323" si="4">J260-E260</f>
        <v>0</v>
      </c>
    </row>
    <row r="261" spans="1:11" ht="15.95" customHeight="1" x14ac:dyDescent="0.2">
      <c r="A261" s="156">
        <v>13101</v>
      </c>
      <c r="B261" s="369" t="s">
        <v>344</v>
      </c>
      <c r="C261" s="370"/>
      <c r="D261" s="370"/>
      <c r="E261" s="177">
        <v>1236717.49</v>
      </c>
      <c r="F261" s="177">
        <v>0</v>
      </c>
      <c r="G261" s="25"/>
      <c r="H261" s="177">
        <v>0</v>
      </c>
      <c r="I261" s="25"/>
      <c r="J261" s="177">
        <v>1236717.49</v>
      </c>
      <c r="K261" s="25">
        <f t="shared" si="4"/>
        <v>0</v>
      </c>
    </row>
    <row r="262" spans="1:11" ht="15.95" customHeight="1" x14ac:dyDescent="0.2">
      <c r="A262" s="156">
        <v>1310101</v>
      </c>
      <c r="B262" s="369" t="s">
        <v>457</v>
      </c>
      <c r="C262" s="370"/>
      <c r="D262" s="370"/>
      <c r="E262" s="177">
        <v>1236717.49</v>
      </c>
      <c r="F262" s="177">
        <v>0</v>
      </c>
      <c r="G262" s="25"/>
      <c r="H262" s="177">
        <v>0</v>
      </c>
      <c r="I262" s="25"/>
      <c r="J262" s="177">
        <v>1236717.49</v>
      </c>
      <c r="K262" s="25">
        <f t="shared" si="4"/>
        <v>0</v>
      </c>
    </row>
    <row r="263" spans="1:11" ht="15.95" customHeight="1" x14ac:dyDescent="0.2">
      <c r="A263" s="156" t="s">
        <v>458</v>
      </c>
      <c r="B263" s="369" t="s">
        <v>459</v>
      </c>
      <c r="C263" s="370"/>
      <c r="D263" s="370"/>
      <c r="E263" s="177">
        <v>1236717.49</v>
      </c>
      <c r="F263" s="177">
        <v>0</v>
      </c>
      <c r="G263" s="25"/>
      <c r="H263" s="177">
        <v>0</v>
      </c>
      <c r="I263" s="25"/>
      <c r="J263" s="177">
        <v>1236717.49</v>
      </c>
      <c r="K263" s="25">
        <f t="shared" si="4"/>
        <v>0</v>
      </c>
    </row>
    <row r="264" spans="1:11" ht="15.95" customHeight="1" x14ac:dyDescent="0.2">
      <c r="A264" s="156">
        <v>2</v>
      </c>
      <c r="B264" s="369" t="s">
        <v>460</v>
      </c>
      <c r="C264" s="370"/>
      <c r="D264" s="370"/>
      <c r="E264" s="177">
        <v>-314364585.81999999</v>
      </c>
      <c r="F264" s="177">
        <v>178792915.91999999</v>
      </c>
      <c r="G264" s="25"/>
      <c r="H264" s="177">
        <v>175751712.97</v>
      </c>
      <c r="I264" s="25"/>
      <c r="J264" s="177">
        <v>-311323382.87</v>
      </c>
      <c r="K264" s="25">
        <f t="shared" si="4"/>
        <v>3041202.9499999881</v>
      </c>
    </row>
    <row r="265" spans="1:11" ht="15.95" customHeight="1" x14ac:dyDescent="0.2">
      <c r="A265" s="156">
        <v>21</v>
      </c>
      <c r="B265" s="369" t="s">
        <v>461</v>
      </c>
      <c r="C265" s="370"/>
      <c r="D265" s="370"/>
      <c r="E265" s="177">
        <v>-13458860.310000001</v>
      </c>
      <c r="F265" s="177">
        <v>53522852.82</v>
      </c>
      <c r="G265" s="25"/>
      <c r="H265" s="177">
        <v>56685616.549999997</v>
      </c>
      <c r="I265" s="25"/>
      <c r="J265" s="177">
        <v>-16621624.039999999</v>
      </c>
      <c r="K265" s="25">
        <f t="shared" si="4"/>
        <v>-3162763.7299999986</v>
      </c>
    </row>
    <row r="266" spans="1:11" ht="15.95" customHeight="1" x14ac:dyDescent="0.2">
      <c r="A266" s="158">
        <v>211</v>
      </c>
      <c r="B266" s="371" t="s">
        <v>462</v>
      </c>
      <c r="C266" s="372"/>
      <c r="D266" s="372"/>
      <c r="E266" s="178">
        <v>-783736.12</v>
      </c>
      <c r="F266" s="178">
        <v>20579088.52</v>
      </c>
      <c r="G266" s="31"/>
      <c r="H266" s="178">
        <v>20807882.809999999</v>
      </c>
      <c r="I266" s="31"/>
      <c r="J266" s="178">
        <v>-1012530.41</v>
      </c>
      <c r="K266" s="31">
        <f t="shared" si="4"/>
        <v>-228794.29000000004</v>
      </c>
    </row>
    <row r="267" spans="1:11" ht="15.95" customHeight="1" x14ac:dyDescent="0.2">
      <c r="A267" s="156">
        <v>21101</v>
      </c>
      <c r="B267" s="369" t="s">
        <v>462</v>
      </c>
      <c r="C267" s="370"/>
      <c r="D267" s="370"/>
      <c r="E267" s="177">
        <v>-783736.12</v>
      </c>
      <c r="F267" s="177">
        <v>20579088.52</v>
      </c>
      <c r="G267" s="25"/>
      <c r="H267" s="177">
        <v>20807882.809999999</v>
      </c>
      <c r="I267" s="25"/>
      <c r="J267" s="177">
        <v>-1012530.41</v>
      </c>
      <c r="K267" s="25">
        <f t="shared" si="4"/>
        <v>-228794.29000000004</v>
      </c>
    </row>
    <row r="268" spans="1:11" ht="15.95" customHeight="1" x14ac:dyDescent="0.2">
      <c r="A268" s="156">
        <v>2110101</v>
      </c>
      <c r="B268" s="369" t="s">
        <v>463</v>
      </c>
      <c r="C268" s="370"/>
      <c r="D268" s="370"/>
      <c r="E268" s="177">
        <v>-777801.58</v>
      </c>
      <c r="F268" s="177">
        <v>18033755.699999999</v>
      </c>
      <c r="G268" s="25"/>
      <c r="H268" s="177">
        <v>18100690.620000001</v>
      </c>
      <c r="I268" s="25"/>
      <c r="J268" s="177">
        <v>-844736.5</v>
      </c>
      <c r="K268" s="25">
        <f t="shared" si="4"/>
        <v>-66934.920000000042</v>
      </c>
    </row>
    <row r="269" spans="1:11" ht="15.95" customHeight="1" x14ac:dyDescent="0.2">
      <c r="A269" s="156" t="s">
        <v>464</v>
      </c>
      <c r="B269" s="369" t="s">
        <v>465</v>
      </c>
      <c r="C269" s="370"/>
      <c r="D269" s="370"/>
      <c r="E269" s="177">
        <v>-53791.14</v>
      </c>
      <c r="F269" s="177">
        <v>1118929.81</v>
      </c>
      <c r="G269" s="25"/>
      <c r="H269" s="177">
        <v>1214965.67</v>
      </c>
      <c r="I269" s="25"/>
      <c r="J269" s="177">
        <v>-149827</v>
      </c>
      <c r="K269" s="25">
        <f t="shared" si="4"/>
        <v>-96035.86</v>
      </c>
    </row>
    <row r="270" spans="1:11" ht="15.95" customHeight="1" x14ac:dyDescent="0.2">
      <c r="A270" s="156" t="s">
        <v>466</v>
      </c>
      <c r="B270" s="369" t="s">
        <v>1809</v>
      </c>
      <c r="C270" s="370"/>
      <c r="D270" s="370"/>
      <c r="E270" s="177">
        <v>0</v>
      </c>
      <c r="F270" s="177">
        <v>2812712.2</v>
      </c>
      <c r="G270" s="25"/>
      <c r="H270" s="177">
        <v>2813973.42</v>
      </c>
      <c r="I270" s="25"/>
      <c r="J270" s="177">
        <v>-1261.22</v>
      </c>
      <c r="K270" s="25">
        <f t="shared" si="4"/>
        <v>-1261.22</v>
      </c>
    </row>
    <row r="271" spans="1:11" ht="15.95" customHeight="1" x14ac:dyDescent="0.2">
      <c r="A271" s="156" t="s">
        <v>468</v>
      </c>
      <c r="B271" s="369" t="s">
        <v>469</v>
      </c>
      <c r="C271" s="370"/>
      <c r="D271" s="370"/>
      <c r="E271" s="177">
        <v>-1798.34</v>
      </c>
      <c r="F271" s="177">
        <v>52731.72</v>
      </c>
      <c r="G271" s="25"/>
      <c r="H271" s="177">
        <v>52371.91</v>
      </c>
      <c r="I271" s="25"/>
      <c r="J271" s="177">
        <v>-1438.53</v>
      </c>
      <c r="K271" s="25">
        <f t="shared" si="4"/>
        <v>359.80999999999995</v>
      </c>
    </row>
    <row r="272" spans="1:11" ht="27.95" customHeight="1" x14ac:dyDescent="0.2">
      <c r="A272" s="156" t="s">
        <v>470</v>
      </c>
      <c r="B272" s="369" t="s">
        <v>471</v>
      </c>
      <c r="C272" s="370"/>
      <c r="D272" s="370"/>
      <c r="E272" s="177">
        <v>-3761.1</v>
      </c>
      <c r="F272" s="177">
        <v>124830.14</v>
      </c>
      <c r="G272" s="25"/>
      <c r="H272" s="177">
        <v>121069.04</v>
      </c>
      <c r="I272" s="25"/>
      <c r="J272" s="177">
        <v>0</v>
      </c>
      <c r="K272" s="25">
        <f t="shared" si="4"/>
        <v>3761.1</v>
      </c>
    </row>
    <row r="273" spans="1:11" ht="15.95" customHeight="1" x14ac:dyDescent="0.2">
      <c r="A273" s="156" t="s">
        <v>472</v>
      </c>
      <c r="B273" s="369" t="s">
        <v>473</v>
      </c>
      <c r="C273" s="370"/>
      <c r="D273" s="370"/>
      <c r="E273" s="177">
        <v>0</v>
      </c>
      <c r="F273" s="177">
        <v>29723.33</v>
      </c>
      <c r="G273" s="25"/>
      <c r="H273" s="177">
        <v>29723.33</v>
      </c>
      <c r="I273" s="25"/>
      <c r="J273" s="177">
        <v>0</v>
      </c>
      <c r="K273" s="25">
        <f t="shared" si="4"/>
        <v>0</v>
      </c>
    </row>
    <row r="274" spans="1:11" ht="15.95" customHeight="1" x14ac:dyDescent="0.2">
      <c r="A274" s="156" t="s">
        <v>474</v>
      </c>
      <c r="B274" s="369" t="s">
        <v>475</v>
      </c>
      <c r="C274" s="370"/>
      <c r="D274" s="370"/>
      <c r="E274" s="177">
        <v>0</v>
      </c>
      <c r="F274" s="177">
        <v>17130.099999999999</v>
      </c>
      <c r="G274" s="25"/>
      <c r="H274" s="177">
        <v>17130.099999999999</v>
      </c>
      <c r="I274" s="25"/>
      <c r="J274" s="177">
        <v>0</v>
      </c>
      <c r="K274" s="25">
        <f t="shared" si="4"/>
        <v>0</v>
      </c>
    </row>
    <row r="275" spans="1:11" ht="15.95" customHeight="1" x14ac:dyDescent="0.2">
      <c r="A275" s="156" t="s">
        <v>476</v>
      </c>
      <c r="B275" s="369" t="s">
        <v>477</v>
      </c>
      <c r="C275" s="370"/>
      <c r="D275" s="370"/>
      <c r="E275" s="177">
        <v>-1589.28</v>
      </c>
      <c r="F275" s="177">
        <v>14849.84</v>
      </c>
      <c r="G275" s="25"/>
      <c r="H275" s="177">
        <v>14850</v>
      </c>
      <c r="I275" s="25"/>
      <c r="J275" s="177">
        <v>-1589.44</v>
      </c>
      <c r="K275" s="25">
        <f t="shared" si="4"/>
        <v>-0.16000000000008185</v>
      </c>
    </row>
    <row r="276" spans="1:11" ht="15.95" customHeight="1" x14ac:dyDescent="0.2">
      <c r="A276" s="156" t="s">
        <v>1810</v>
      </c>
      <c r="B276" s="369" t="s">
        <v>1811</v>
      </c>
      <c r="C276" s="370"/>
      <c r="D276" s="370"/>
      <c r="E276" s="177">
        <v>0</v>
      </c>
      <c r="F276" s="177">
        <v>884.3</v>
      </c>
      <c r="G276" s="25"/>
      <c r="H276" s="177">
        <v>884.3</v>
      </c>
      <c r="I276" s="25"/>
      <c r="J276" s="177">
        <v>0</v>
      </c>
      <c r="K276" s="25">
        <f t="shared" si="4"/>
        <v>0</v>
      </c>
    </row>
    <row r="277" spans="1:11" ht="15.95" customHeight="1" x14ac:dyDescent="0.2">
      <c r="A277" s="156" t="s">
        <v>478</v>
      </c>
      <c r="B277" s="369" t="s">
        <v>479</v>
      </c>
      <c r="C277" s="370"/>
      <c r="D277" s="370"/>
      <c r="E277" s="177">
        <v>0</v>
      </c>
      <c r="F277" s="177">
        <v>12451.9</v>
      </c>
      <c r="G277" s="25"/>
      <c r="H277" s="177">
        <v>12451.9</v>
      </c>
      <c r="I277" s="25"/>
      <c r="J277" s="177">
        <v>0</v>
      </c>
      <c r="K277" s="25">
        <f t="shared" si="4"/>
        <v>0</v>
      </c>
    </row>
    <row r="278" spans="1:11" ht="15.95" customHeight="1" x14ac:dyDescent="0.2">
      <c r="A278" s="156" t="s">
        <v>480</v>
      </c>
      <c r="B278" s="369" t="s">
        <v>481</v>
      </c>
      <c r="C278" s="370"/>
      <c r="D278" s="370"/>
      <c r="E278" s="177">
        <v>0</v>
      </c>
      <c r="F278" s="177">
        <v>9308.68</v>
      </c>
      <c r="G278" s="25"/>
      <c r="H278" s="177">
        <v>10350</v>
      </c>
      <c r="I278" s="25"/>
      <c r="J278" s="177">
        <v>-1041.32</v>
      </c>
      <c r="K278" s="25">
        <f t="shared" si="4"/>
        <v>-1041.32</v>
      </c>
    </row>
    <row r="279" spans="1:11" ht="15.95" customHeight="1" x14ac:dyDescent="0.2">
      <c r="A279" s="156" t="s">
        <v>482</v>
      </c>
      <c r="B279" s="369" t="s">
        <v>483</v>
      </c>
      <c r="C279" s="370"/>
      <c r="D279" s="370"/>
      <c r="E279" s="177">
        <v>0</v>
      </c>
      <c r="F279" s="177">
        <v>101502.98</v>
      </c>
      <c r="G279" s="25"/>
      <c r="H279" s="177">
        <v>101502.98</v>
      </c>
      <c r="I279" s="25"/>
      <c r="J279" s="177">
        <v>0</v>
      </c>
      <c r="K279" s="25">
        <f t="shared" si="4"/>
        <v>0</v>
      </c>
    </row>
    <row r="280" spans="1:11" ht="15.95" customHeight="1" x14ac:dyDescent="0.2">
      <c r="A280" s="156" t="s">
        <v>484</v>
      </c>
      <c r="B280" s="369" t="s">
        <v>485</v>
      </c>
      <c r="C280" s="370"/>
      <c r="D280" s="370"/>
      <c r="E280" s="177">
        <v>0</v>
      </c>
      <c r="F280" s="177">
        <v>1974.55</v>
      </c>
      <c r="G280" s="25"/>
      <c r="H280" s="177">
        <v>1974.55</v>
      </c>
      <c r="I280" s="25"/>
      <c r="J280" s="177">
        <v>0</v>
      </c>
      <c r="K280" s="25">
        <f t="shared" si="4"/>
        <v>0</v>
      </c>
    </row>
    <row r="281" spans="1:11" ht="15.95" customHeight="1" x14ac:dyDescent="0.2">
      <c r="A281" s="156" t="s">
        <v>486</v>
      </c>
      <c r="B281" s="369" t="s">
        <v>487</v>
      </c>
      <c r="C281" s="370"/>
      <c r="D281" s="370"/>
      <c r="E281" s="177">
        <v>-4</v>
      </c>
      <c r="F281" s="177">
        <v>6194.1</v>
      </c>
      <c r="G281" s="25"/>
      <c r="H281" s="177">
        <v>6190.1</v>
      </c>
      <c r="I281" s="25"/>
      <c r="J281" s="177">
        <v>0</v>
      </c>
      <c r="K281" s="25">
        <f t="shared" si="4"/>
        <v>4</v>
      </c>
    </row>
    <row r="282" spans="1:11" ht="15.95" customHeight="1" x14ac:dyDescent="0.2">
      <c r="A282" s="156" t="s">
        <v>488</v>
      </c>
      <c r="B282" s="369" t="s">
        <v>489</v>
      </c>
      <c r="C282" s="370"/>
      <c r="D282" s="370"/>
      <c r="E282" s="177">
        <v>0</v>
      </c>
      <c r="F282" s="177">
        <v>997903.53</v>
      </c>
      <c r="G282" s="25"/>
      <c r="H282" s="177">
        <v>997903.53</v>
      </c>
      <c r="I282" s="25"/>
      <c r="J282" s="177">
        <v>0</v>
      </c>
      <c r="K282" s="25">
        <f t="shared" si="4"/>
        <v>0</v>
      </c>
    </row>
    <row r="283" spans="1:11" ht="15.95" customHeight="1" x14ac:dyDescent="0.2">
      <c r="A283" s="156" t="s">
        <v>490</v>
      </c>
      <c r="B283" s="369" t="s">
        <v>491</v>
      </c>
      <c r="C283" s="370"/>
      <c r="D283" s="370"/>
      <c r="E283" s="177">
        <v>0</v>
      </c>
      <c r="F283" s="177">
        <v>25092.18</v>
      </c>
      <c r="G283" s="25"/>
      <c r="H283" s="177">
        <v>28185.03</v>
      </c>
      <c r="I283" s="25"/>
      <c r="J283" s="177">
        <v>-3092.85</v>
      </c>
      <c r="K283" s="25">
        <f t="shared" si="4"/>
        <v>-3092.85</v>
      </c>
    </row>
    <row r="284" spans="1:11" ht="15.95" customHeight="1" x14ac:dyDescent="0.2">
      <c r="A284" s="156" t="s">
        <v>492</v>
      </c>
      <c r="B284" s="369" t="s">
        <v>493</v>
      </c>
      <c r="C284" s="370"/>
      <c r="D284" s="370"/>
      <c r="E284" s="177">
        <v>0</v>
      </c>
      <c r="F284" s="177">
        <v>784.74</v>
      </c>
      <c r="G284" s="25"/>
      <c r="H284" s="177">
        <v>784.74</v>
      </c>
      <c r="I284" s="25"/>
      <c r="J284" s="177">
        <v>0</v>
      </c>
      <c r="K284" s="25">
        <f t="shared" si="4"/>
        <v>0</v>
      </c>
    </row>
    <row r="285" spans="1:11" ht="15.95" customHeight="1" x14ac:dyDescent="0.2">
      <c r="A285" s="156" t="s">
        <v>494</v>
      </c>
      <c r="B285" s="369" t="s">
        <v>495</v>
      </c>
      <c r="C285" s="370"/>
      <c r="D285" s="370"/>
      <c r="E285" s="177">
        <v>0</v>
      </c>
      <c r="F285" s="177">
        <v>152.65</v>
      </c>
      <c r="G285" s="25"/>
      <c r="H285" s="177">
        <v>152.65</v>
      </c>
      <c r="I285" s="25"/>
      <c r="J285" s="177">
        <v>0</v>
      </c>
      <c r="K285" s="25">
        <f t="shared" si="4"/>
        <v>0</v>
      </c>
    </row>
    <row r="286" spans="1:11" ht="15.95" customHeight="1" x14ac:dyDescent="0.2">
      <c r="A286" s="156" t="s">
        <v>496</v>
      </c>
      <c r="B286" s="369" t="s">
        <v>497</v>
      </c>
      <c r="C286" s="370"/>
      <c r="D286" s="370"/>
      <c r="E286" s="177">
        <v>-119502.26</v>
      </c>
      <c r="F286" s="177">
        <v>0</v>
      </c>
      <c r="G286" s="25"/>
      <c r="H286" s="177">
        <v>0</v>
      </c>
      <c r="I286" s="25"/>
      <c r="J286" s="177">
        <v>-119502.26</v>
      </c>
      <c r="K286" s="25">
        <f t="shared" si="4"/>
        <v>0</v>
      </c>
    </row>
    <row r="287" spans="1:11" ht="15.95" customHeight="1" x14ac:dyDescent="0.2">
      <c r="A287" s="156" t="s">
        <v>498</v>
      </c>
      <c r="B287" s="369" t="s">
        <v>499</v>
      </c>
      <c r="C287" s="370"/>
      <c r="D287" s="370"/>
      <c r="E287" s="177">
        <v>-1178.8900000000001</v>
      </c>
      <c r="F287" s="177">
        <v>2037.13</v>
      </c>
      <c r="G287" s="25"/>
      <c r="H287" s="177">
        <v>858.24</v>
      </c>
      <c r="I287" s="25"/>
      <c r="J287" s="177">
        <v>0</v>
      </c>
      <c r="K287" s="25">
        <f t="shared" si="4"/>
        <v>1178.8900000000001</v>
      </c>
    </row>
    <row r="288" spans="1:11" ht="15.95" customHeight="1" x14ac:dyDescent="0.2">
      <c r="A288" s="156" t="s">
        <v>500</v>
      </c>
      <c r="B288" s="369" t="s">
        <v>501</v>
      </c>
      <c r="C288" s="370"/>
      <c r="D288" s="370"/>
      <c r="E288" s="177">
        <v>0</v>
      </c>
      <c r="F288" s="177">
        <v>11169.25</v>
      </c>
      <c r="G288" s="25"/>
      <c r="H288" s="177">
        <v>11169.25</v>
      </c>
      <c r="I288" s="25"/>
      <c r="J288" s="177">
        <v>0</v>
      </c>
      <c r="K288" s="25">
        <f t="shared" si="4"/>
        <v>0</v>
      </c>
    </row>
    <row r="289" spans="1:11" ht="15.95" customHeight="1" x14ac:dyDescent="0.2">
      <c r="A289" s="156" t="s">
        <v>502</v>
      </c>
      <c r="B289" s="369" t="s">
        <v>503</v>
      </c>
      <c r="C289" s="370"/>
      <c r="D289" s="370"/>
      <c r="E289" s="177">
        <v>-23584.44</v>
      </c>
      <c r="F289" s="177">
        <v>2275058.83</v>
      </c>
      <c r="G289" s="25"/>
      <c r="H289" s="177">
        <v>2307786.21</v>
      </c>
      <c r="I289" s="25"/>
      <c r="J289" s="177">
        <v>-56311.82</v>
      </c>
      <c r="K289" s="25">
        <f t="shared" si="4"/>
        <v>-32727.38</v>
      </c>
    </row>
    <row r="290" spans="1:11" ht="15.95" customHeight="1" x14ac:dyDescent="0.2">
      <c r="A290" s="156" t="s">
        <v>504</v>
      </c>
      <c r="B290" s="369" t="s">
        <v>505</v>
      </c>
      <c r="C290" s="370"/>
      <c r="D290" s="370"/>
      <c r="E290" s="177">
        <v>0</v>
      </c>
      <c r="F290" s="177">
        <v>29542.09</v>
      </c>
      <c r="G290" s="25"/>
      <c r="H290" s="177">
        <v>32305.56</v>
      </c>
      <c r="I290" s="25"/>
      <c r="J290" s="177">
        <v>-2763.47</v>
      </c>
      <c r="K290" s="25">
        <f t="shared" si="4"/>
        <v>-2763.47</v>
      </c>
    </row>
    <row r="291" spans="1:11" ht="15.95" customHeight="1" x14ac:dyDescent="0.2">
      <c r="A291" s="156" t="s">
        <v>506</v>
      </c>
      <c r="B291" s="369" t="s">
        <v>507</v>
      </c>
      <c r="C291" s="370"/>
      <c r="D291" s="370"/>
      <c r="E291" s="177">
        <v>0</v>
      </c>
      <c r="F291" s="177">
        <v>1122423.56</v>
      </c>
      <c r="G291" s="25"/>
      <c r="H291" s="177">
        <v>1229957.48</v>
      </c>
      <c r="I291" s="25"/>
      <c r="J291" s="177">
        <v>-107533.92</v>
      </c>
      <c r="K291" s="25">
        <f t="shared" si="4"/>
        <v>-107533.92</v>
      </c>
    </row>
    <row r="292" spans="1:11" ht="15.95" customHeight="1" x14ac:dyDescent="0.2">
      <c r="A292" s="156" t="s">
        <v>508</v>
      </c>
      <c r="B292" s="369" t="s">
        <v>509</v>
      </c>
      <c r="C292" s="370"/>
      <c r="D292" s="370"/>
      <c r="E292" s="177">
        <v>0</v>
      </c>
      <c r="F292" s="177">
        <v>1218886.8799999999</v>
      </c>
      <c r="G292" s="25"/>
      <c r="H292" s="177">
        <v>1218886.8799999999</v>
      </c>
      <c r="I292" s="25"/>
      <c r="J292" s="177">
        <v>0</v>
      </c>
      <c r="K292" s="25">
        <f t="shared" si="4"/>
        <v>0</v>
      </c>
    </row>
    <row r="293" spans="1:11" ht="15.95" customHeight="1" x14ac:dyDescent="0.2">
      <c r="A293" s="156" t="s">
        <v>510</v>
      </c>
      <c r="B293" s="369" t="s">
        <v>511</v>
      </c>
      <c r="C293" s="370"/>
      <c r="D293" s="370"/>
      <c r="E293" s="177">
        <v>0</v>
      </c>
      <c r="F293" s="177">
        <v>2150500</v>
      </c>
      <c r="G293" s="25"/>
      <c r="H293" s="177">
        <v>2150500</v>
      </c>
      <c r="I293" s="25"/>
      <c r="J293" s="177">
        <v>0</v>
      </c>
      <c r="K293" s="25">
        <f t="shared" si="4"/>
        <v>0</v>
      </c>
    </row>
    <row r="294" spans="1:11" ht="15.95" customHeight="1" x14ac:dyDescent="0.2">
      <c r="A294" s="156" t="s">
        <v>512</v>
      </c>
      <c r="B294" s="369" t="s">
        <v>513</v>
      </c>
      <c r="C294" s="370"/>
      <c r="D294" s="370"/>
      <c r="E294" s="177">
        <v>-1606.1</v>
      </c>
      <c r="F294" s="177">
        <v>0</v>
      </c>
      <c r="G294" s="25"/>
      <c r="H294" s="177">
        <v>0</v>
      </c>
      <c r="I294" s="25"/>
      <c r="J294" s="177">
        <v>-1606.1</v>
      </c>
      <c r="K294" s="25">
        <f t="shared" si="4"/>
        <v>0</v>
      </c>
    </row>
    <row r="295" spans="1:11" ht="15.95" customHeight="1" x14ac:dyDescent="0.2">
      <c r="A295" s="156" t="s">
        <v>514</v>
      </c>
      <c r="B295" s="369" t="s">
        <v>515</v>
      </c>
      <c r="C295" s="370"/>
      <c r="D295" s="370"/>
      <c r="E295" s="177">
        <v>-22299.84</v>
      </c>
      <c r="F295" s="177">
        <v>72666.5</v>
      </c>
      <c r="G295" s="25"/>
      <c r="H295" s="177">
        <v>50366.66</v>
      </c>
      <c r="I295" s="25"/>
      <c r="J295" s="177">
        <v>0</v>
      </c>
      <c r="K295" s="25">
        <f t="shared" si="4"/>
        <v>22299.84</v>
      </c>
    </row>
    <row r="296" spans="1:11" ht="15.95" customHeight="1" x14ac:dyDescent="0.2">
      <c r="A296" s="156" t="s">
        <v>516</v>
      </c>
      <c r="B296" s="369" t="s">
        <v>517</v>
      </c>
      <c r="C296" s="370"/>
      <c r="D296" s="370"/>
      <c r="E296" s="177">
        <v>-6121.35</v>
      </c>
      <c r="F296" s="177">
        <v>0</v>
      </c>
      <c r="G296" s="25"/>
      <c r="H296" s="177">
        <v>0</v>
      </c>
      <c r="I296" s="25"/>
      <c r="J296" s="177">
        <v>-6121.35</v>
      </c>
      <c r="K296" s="25">
        <f t="shared" si="4"/>
        <v>0</v>
      </c>
    </row>
    <row r="297" spans="1:11" ht="15.95" customHeight="1" x14ac:dyDescent="0.2">
      <c r="A297" s="156" t="s">
        <v>518</v>
      </c>
      <c r="B297" s="369" t="s">
        <v>519</v>
      </c>
      <c r="C297" s="370"/>
      <c r="D297" s="370"/>
      <c r="E297" s="177">
        <v>-172922.96</v>
      </c>
      <c r="F297" s="177">
        <v>0</v>
      </c>
      <c r="G297" s="25"/>
      <c r="H297" s="177">
        <v>0</v>
      </c>
      <c r="I297" s="25"/>
      <c r="J297" s="177">
        <v>-172922.96</v>
      </c>
      <c r="K297" s="25">
        <f t="shared" si="4"/>
        <v>0</v>
      </c>
    </row>
    <row r="298" spans="1:11" ht="15.95" customHeight="1" x14ac:dyDescent="0.2">
      <c r="A298" s="156" t="s">
        <v>1505</v>
      </c>
      <c r="B298" s="369" t="s">
        <v>1506</v>
      </c>
      <c r="C298" s="370"/>
      <c r="D298" s="370"/>
      <c r="E298" s="177">
        <v>0</v>
      </c>
      <c r="F298" s="177">
        <v>39943.56</v>
      </c>
      <c r="G298" s="25"/>
      <c r="H298" s="177">
        <v>39943.56</v>
      </c>
      <c r="I298" s="25"/>
      <c r="J298" s="177">
        <v>0</v>
      </c>
      <c r="K298" s="25">
        <f t="shared" si="4"/>
        <v>0</v>
      </c>
    </row>
    <row r="299" spans="1:11" ht="15.95" customHeight="1" x14ac:dyDescent="0.2">
      <c r="A299" s="156" t="s">
        <v>520</v>
      </c>
      <c r="B299" s="369" t="s">
        <v>521</v>
      </c>
      <c r="C299" s="370"/>
      <c r="D299" s="370"/>
      <c r="E299" s="177">
        <v>-175665.09</v>
      </c>
      <c r="F299" s="177">
        <v>175665.09</v>
      </c>
      <c r="G299" s="25"/>
      <c r="H299" s="177">
        <v>0</v>
      </c>
      <c r="I299" s="25"/>
      <c r="J299" s="177">
        <v>0</v>
      </c>
      <c r="K299" s="25">
        <f t="shared" si="4"/>
        <v>175665.09</v>
      </c>
    </row>
    <row r="300" spans="1:11" ht="15.95" customHeight="1" x14ac:dyDescent="0.2">
      <c r="A300" s="156" t="s">
        <v>522</v>
      </c>
      <c r="B300" s="369" t="s">
        <v>523</v>
      </c>
      <c r="C300" s="370"/>
      <c r="D300" s="370"/>
      <c r="E300" s="177">
        <v>0</v>
      </c>
      <c r="F300" s="177">
        <v>50229.83</v>
      </c>
      <c r="G300" s="25"/>
      <c r="H300" s="177">
        <v>50229.83</v>
      </c>
      <c r="I300" s="25"/>
      <c r="J300" s="177">
        <v>0</v>
      </c>
      <c r="K300" s="25">
        <f t="shared" si="4"/>
        <v>0</v>
      </c>
    </row>
    <row r="301" spans="1:11" ht="15.95" customHeight="1" x14ac:dyDescent="0.2">
      <c r="A301" s="156" t="s">
        <v>524</v>
      </c>
      <c r="B301" s="369" t="s">
        <v>525</v>
      </c>
      <c r="C301" s="370"/>
      <c r="D301" s="370"/>
      <c r="E301" s="177">
        <v>0</v>
      </c>
      <c r="F301" s="177">
        <v>998052.43</v>
      </c>
      <c r="G301" s="25"/>
      <c r="H301" s="177">
        <v>998052.43</v>
      </c>
      <c r="I301" s="25"/>
      <c r="J301" s="177">
        <v>0</v>
      </c>
      <c r="K301" s="25">
        <f t="shared" si="4"/>
        <v>0</v>
      </c>
    </row>
    <row r="302" spans="1:11" ht="15.95" customHeight="1" x14ac:dyDescent="0.2">
      <c r="A302" s="156" t="s">
        <v>526</v>
      </c>
      <c r="B302" s="369" t="s">
        <v>527</v>
      </c>
      <c r="C302" s="370"/>
      <c r="D302" s="370"/>
      <c r="E302" s="177">
        <v>-265.2</v>
      </c>
      <c r="F302" s="177">
        <v>19566.52</v>
      </c>
      <c r="G302" s="25"/>
      <c r="H302" s="177">
        <v>21464.02</v>
      </c>
      <c r="I302" s="25"/>
      <c r="J302" s="177">
        <v>-2162.6999999999998</v>
      </c>
      <c r="K302" s="25">
        <f t="shared" si="4"/>
        <v>-1897.4999999999998</v>
      </c>
    </row>
    <row r="303" spans="1:11" ht="15.95" customHeight="1" x14ac:dyDescent="0.2">
      <c r="A303" s="156" t="s">
        <v>528</v>
      </c>
      <c r="B303" s="369" t="s">
        <v>529</v>
      </c>
      <c r="C303" s="370"/>
      <c r="D303" s="370"/>
      <c r="E303" s="177">
        <v>0</v>
      </c>
      <c r="F303" s="177">
        <v>2628</v>
      </c>
      <c r="G303" s="25"/>
      <c r="H303" s="177">
        <v>2628</v>
      </c>
      <c r="I303" s="25"/>
      <c r="J303" s="177">
        <v>0</v>
      </c>
      <c r="K303" s="25">
        <f t="shared" si="4"/>
        <v>0</v>
      </c>
    </row>
    <row r="304" spans="1:11" ht="15.95" customHeight="1" x14ac:dyDescent="0.2">
      <c r="A304" s="156" t="s">
        <v>530</v>
      </c>
      <c r="B304" s="369" t="s">
        <v>531</v>
      </c>
      <c r="C304" s="370"/>
      <c r="D304" s="370"/>
      <c r="E304" s="177">
        <v>-1.98</v>
      </c>
      <c r="F304" s="177">
        <v>91596.64</v>
      </c>
      <c r="G304" s="25"/>
      <c r="H304" s="177">
        <v>91594.66</v>
      </c>
      <c r="I304" s="25"/>
      <c r="J304" s="177">
        <v>0</v>
      </c>
      <c r="K304" s="25">
        <f t="shared" si="4"/>
        <v>1.98</v>
      </c>
    </row>
    <row r="305" spans="1:11" ht="15.95" customHeight="1" x14ac:dyDescent="0.2">
      <c r="A305" s="156" t="s">
        <v>532</v>
      </c>
      <c r="B305" s="369" t="s">
        <v>533</v>
      </c>
      <c r="C305" s="370"/>
      <c r="D305" s="370"/>
      <c r="E305" s="177">
        <v>-1416.52</v>
      </c>
      <c r="F305" s="177">
        <v>13201.36</v>
      </c>
      <c r="G305" s="25"/>
      <c r="H305" s="177">
        <v>11784.84</v>
      </c>
      <c r="I305" s="25"/>
      <c r="J305" s="177">
        <v>0</v>
      </c>
      <c r="K305" s="25">
        <f t="shared" si="4"/>
        <v>1416.52</v>
      </c>
    </row>
    <row r="306" spans="1:11" ht="15.95" customHeight="1" x14ac:dyDescent="0.2">
      <c r="A306" s="156" t="s">
        <v>534</v>
      </c>
      <c r="B306" s="369" t="s">
        <v>535</v>
      </c>
      <c r="C306" s="370"/>
      <c r="D306" s="370"/>
      <c r="E306" s="177">
        <v>-25798.82</v>
      </c>
      <c r="F306" s="177">
        <v>0</v>
      </c>
      <c r="G306" s="25"/>
      <c r="H306" s="177">
        <v>0</v>
      </c>
      <c r="I306" s="25"/>
      <c r="J306" s="177">
        <v>-25798.82</v>
      </c>
      <c r="K306" s="25">
        <f t="shared" si="4"/>
        <v>0</v>
      </c>
    </row>
    <row r="307" spans="1:11" ht="15.95" customHeight="1" x14ac:dyDescent="0.2">
      <c r="A307" s="156" t="s">
        <v>536</v>
      </c>
      <c r="B307" s="369" t="s">
        <v>537</v>
      </c>
      <c r="C307" s="370"/>
      <c r="D307" s="370"/>
      <c r="E307" s="177">
        <v>0</v>
      </c>
      <c r="F307" s="177">
        <v>99674.02</v>
      </c>
      <c r="G307" s="25"/>
      <c r="H307" s="177">
        <v>99674.02</v>
      </c>
      <c r="I307" s="25"/>
      <c r="J307" s="177">
        <v>0</v>
      </c>
      <c r="K307" s="25">
        <f t="shared" si="4"/>
        <v>0</v>
      </c>
    </row>
    <row r="308" spans="1:11" ht="15.95" customHeight="1" x14ac:dyDescent="0.2">
      <c r="A308" s="156" t="s">
        <v>538</v>
      </c>
      <c r="B308" s="369" t="s">
        <v>539</v>
      </c>
      <c r="C308" s="370"/>
      <c r="D308" s="370"/>
      <c r="E308" s="177">
        <v>0</v>
      </c>
      <c r="F308" s="177">
        <v>5200</v>
      </c>
      <c r="G308" s="25"/>
      <c r="H308" s="177">
        <v>5200</v>
      </c>
      <c r="I308" s="25"/>
      <c r="J308" s="177">
        <v>0</v>
      </c>
      <c r="K308" s="25">
        <f t="shared" si="4"/>
        <v>0</v>
      </c>
    </row>
    <row r="309" spans="1:11" ht="15.95" customHeight="1" x14ac:dyDescent="0.2">
      <c r="A309" s="156" t="s">
        <v>540</v>
      </c>
      <c r="B309" s="369" t="s">
        <v>541</v>
      </c>
      <c r="C309" s="370"/>
      <c r="D309" s="370"/>
      <c r="E309" s="177">
        <v>-99496.55</v>
      </c>
      <c r="F309" s="177">
        <v>2103.15</v>
      </c>
      <c r="G309" s="25"/>
      <c r="H309" s="177">
        <v>14758.93</v>
      </c>
      <c r="I309" s="25"/>
      <c r="J309" s="177">
        <v>-112152.33</v>
      </c>
      <c r="K309" s="25">
        <f t="shared" si="4"/>
        <v>-12655.779999999999</v>
      </c>
    </row>
    <row r="310" spans="1:11" ht="15.95" customHeight="1" x14ac:dyDescent="0.2">
      <c r="A310" s="156" t="s">
        <v>542</v>
      </c>
      <c r="B310" s="369" t="s">
        <v>543</v>
      </c>
      <c r="C310" s="370"/>
      <c r="D310" s="370"/>
      <c r="E310" s="177">
        <v>-62508</v>
      </c>
      <c r="F310" s="177">
        <v>562572</v>
      </c>
      <c r="G310" s="25"/>
      <c r="H310" s="177">
        <v>500064</v>
      </c>
      <c r="I310" s="25"/>
      <c r="J310" s="177">
        <v>0</v>
      </c>
      <c r="K310" s="25">
        <f t="shared" si="4"/>
        <v>62508</v>
      </c>
    </row>
    <row r="311" spans="1:11" ht="15.95" customHeight="1" x14ac:dyDescent="0.2">
      <c r="A311" s="156" t="s">
        <v>544</v>
      </c>
      <c r="B311" s="369" t="s">
        <v>545</v>
      </c>
      <c r="C311" s="370"/>
      <c r="D311" s="370"/>
      <c r="E311" s="177">
        <v>0</v>
      </c>
      <c r="F311" s="177">
        <v>114629.86</v>
      </c>
      <c r="G311" s="25"/>
      <c r="H311" s="177">
        <v>123565.69</v>
      </c>
      <c r="I311" s="25"/>
      <c r="J311" s="177">
        <v>-8935.83</v>
      </c>
      <c r="K311" s="25">
        <f t="shared" si="4"/>
        <v>-8935.83</v>
      </c>
    </row>
    <row r="312" spans="1:11" ht="15.95" customHeight="1" x14ac:dyDescent="0.2">
      <c r="A312" s="156" t="s">
        <v>546</v>
      </c>
      <c r="B312" s="369" t="s">
        <v>547</v>
      </c>
      <c r="C312" s="370"/>
      <c r="D312" s="370"/>
      <c r="E312" s="177">
        <v>0</v>
      </c>
      <c r="F312" s="177">
        <v>585410.93999999994</v>
      </c>
      <c r="G312" s="25"/>
      <c r="H312" s="177">
        <v>585410.93999999994</v>
      </c>
      <c r="I312" s="25"/>
      <c r="J312" s="177">
        <v>0</v>
      </c>
      <c r="K312" s="25">
        <f t="shared" si="4"/>
        <v>0</v>
      </c>
    </row>
    <row r="313" spans="1:11" ht="15.95" customHeight="1" x14ac:dyDescent="0.2">
      <c r="A313" s="156" t="s">
        <v>548</v>
      </c>
      <c r="B313" s="369" t="s">
        <v>549</v>
      </c>
      <c r="C313" s="370"/>
      <c r="D313" s="370"/>
      <c r="E313" s="177">
        <v>0</v>
      </c>
      <c r="F313" s="177">
        <v>1596.46</v>
      </c>
      <c r="G313" s="25"/>
      <c r="H313" s="177">
        <v>1596.46</v>
      </c>
      <c r="I313" s="25"/>
      <c r="J313" s="177">
        <v>0</v>
      </c>
      <c r="K313" s="25">
        <f t="shared" si="4"/>
        <v>0</v>
      </c>
    </row>
    <row r="314" spans="1:11" ht="15.95" customHeight="1" x14ac:dyDescent="0.2">
      <c r="A314" s="156" t="s">
        <v>550</v>
      </c>
      <c r="B314" s="369" t="s">
        <v>551</v>
      </c>
      <c r="C314" s="370"/>
      <c r="D314" s="370"/>
      <c r="E314" s="177">
        <v>0</v>
      </c>
      <c r="F314" s="177">
        <v>229335</v>
      </c>
      <c r="G314" s="25"/>
      <c r="H314" s="177">
        <v>229335</v>
      </c>
      <c r="I314" s="25"/>
      <c r="J314" s="177">
        <v>0</v>
      </c>
      <c r="K314" s="25">
        <f t="shared" si="4"/>
        <v>0</v>
      </c>
    </row>
    <row r="315" spans="1:11" ht="15.95" customHeight="1" x14ac:dyDescent="0.2">
      <c r="A315" s="156" t="s">
        <v>552</v>
      </c>
      <c r="B315" s="369" t="s">
        <v>553</v>
      </c>
      <c r="C315" s="370"/>
      <c r="D315" s="370"/>
      <c r="E315" s="177">
        <v>-2912.29</v>
      </c>
      <c r="F315" s="177">
        <v>17540.599999999999</v>
      </c>
      <c r="G315" s="25"/>
      <c r="H315" s="177">
        <v>15333.15</v>
      </c>
      <c r="I315" s="25"/>
      <c r="J315" s="177">
        <v>-704.84</v>
      </c>
      <c r="K315" s="25">
        <f t="shared" si="4"/>
        <v>2207.4499999999998</v>
      </c>
    </row>
    <row r="316" spans="1:11" ht="15.95" customHeight="1" x14ac:dyDescent="0.2">
      <c r="A316" s="156" t="s">
        <v>1812</v>
      </c>
      <c r="B316" s="369" t="s">
        <v>1813</v>
      </c>
      <c r="C316" s="370"/>
      <c r="D316" s="370"/>
      <c r="E316" s="177">
        <v>0</v>
      </c>
      <c r="F316" s="177">
        <v>599.4</v>
      </c>
      <c r="G316" s="25"/>
      <c r="H316" s="177">
        <v>599.4</v>
      </c>
      <c r="I316" s="25"/>
      <c r="J316" s="177">
        <v>0</v>
      </c>
      <c r="K316" s="25">
        <f t="shared" si="4"/>
        <v>0</v>
      </c>
    </row>
    <row r="317" spans="1:11" ht="15.95" customHeight="1" x14ac:dyDescent="0.2">
      <c r="A317" s="156" t="s">
        <v>554</v>
      </c>
      <c r="B317" s="369" t="s">
        <v>555</v>
      </c>
      <c r="C317" s="370"/>
      <c r="D317" s="370"/>
      <c r="E317" s="177">
        <v>0</v>
      </c>
      <c r="F317" s="177">
        <v>4856.3</v>
      </c>
      <c r="G317" s="25"/>
      <c r="H317" s="177">
        <v>4856.3</v>
      </c>
      <c r="I317" s="25"/>
      <c r="J317" s="177">
        <v>0</v>
      </c>
      <c r="K317" s="25">
        <f t="shared" si="4"/>
        <v>0</v>
      </c>
    </row>
    <row r="318" spans="1:11" ht="15.95" customHeight="1" x14ac:dyDescent="0.2">
      <c r="A318" s="156" t="s">
        <v>1814</v>
      </c>
      <c r="B318" s="369" t="s">
        <v>1815</v>
      </c>
      <c r="C318" s="370"/>
      <c r="D318" s="370"/>
      <c r="E318" s="177">
        <v>0</v>
      </c>
      <c r="F318" s="177">
        <v>10800</v>
      </c>
      <c r="G318" s="25"/>
      <c r="H318" s="177">
        <v>10800</v>
      </c>
      <c r="I318" s="25"/>
      <c r="J318" s="177">
        <v>0</v>
      </c>
      <c r="K318" s="25">
        <f t="shared" si="4"/>
        <v>0</v>
      </c>
    </row>
    <row r="319" spans="1:11" ht="15.95" customHeight="1" x14ac:dyDescent="0.2">
      <c r="A319" s="156" t="s">
        <v>1816</v>
      </c>
      <c r="B319" s="369" t="s">
        <v>1817</v>
      </c>
      <c r="C319" s="370"/>
      <c r="D319" s="370"/>
      <c r="E319" s="177">
        <v>0</v>
      </c>
      <c r="F319" s="177">
        <v>6550</v>
      </c>
      <c r="G319" s="25"/>
      <c r="H319" s="177">
        <v>6550</v>
      </c>
      <c r="I319" s="25"/>
      <c r="J319" s="177">
        <v>0</v>
      </c>
      <c r="K319" s="25">
        <f t="shared" si="4"/>
        <v>0</v>
      </c>
    </row>
    <row r="320" spans="1:11" ht="15.95" customHeight="1" x14ac:dyDescent="0.2">
      <c r="A320" s="156" t="s">
        <v>1818</v>
      </c>
      <c r="B320" s="369" t="s">
        <v>1819</v>
      </c>
      <c r="C320" s="370"/>
      <c r="D320" s="370"/>
      <c r="E320" s="177">
        <v>-383.4</v>
      </c>
      <c r="F320" s="177">
        <v>383.4</v>
      </c>
      <c r="G320" s="25"/>
      <c r="H320" s="177">
        <v>0</v>
      </c>
      <c r="I320" s="25"/>
      <c r="J320" s="177">
        <v>0</v>
      </c>
      <c r="K320" s="25">
        <f t="shared" si="4"/>
        <v>383.4</v>
      </c>
    </row>
    <row r="321" spans="1:11" ht="15.95" customHeight="1" x14ac:dyDescent="0.2">
      <c r="A321" s="156" t="s">
        <v>556</v>
      </c>
      <c r="B321" s="369" t="s">
        <v>557</v>
      </c>
      <c r="C321" s="370"/>
      <c r="D321" s="370"/>
      <c r="E321" s="177">
        <v>-1194.03</v>
      </c>
      <c r="F321" s="177">
        <v>13361.72</v>
      </c>
      <c r="G321" s="25"/>
      <c r="H321" s="177">
        <v>13527.9</v>
      </c>
      <c r="I321" s="25"/>
      <c r="J321" s="177">
        <v>-1360.21</v>
      </c>
      <c r="K321" s="25">
        <f t="shared" si="4"/>
        <v>-166.18000000000006</v>
      </c>
    </row>
    <row r="322" spans="1:11" ht="15.95" customHeight="1" x14ac:dyDescent="0.2">
      <c r="A322" s="156" t="s">
        <v>558</v>
      </c>
      <c r="B322" s="369" t="s">
        <v>559</v>
      </c>
      <c r="C322" s="370"/>
      <c r="D322" s="370"/>
      <c r="E322" s="177">
        <v>0</v>
      </c>
      <c r="F322" s="177">
        <v>31968</v>
      </c>
      <c r="G322" s="25"/>
      <c r="H322" s="177">
        <v>41256</v>
      </c>
      <c r="I322" s="25"/>
      <c r="J322" s="177">
        <v>-9288</v>
      </c>
      <c r="K322" s="25">
        <f t="shared" si="4"/>
        <v>-9288</v>
      </c>
    </row>
    <row r="323" spans="1:11" ht="15.95" customHeight="1" x14ac:dyDescent="0.2">
      <c r="A323" s="156" t="s">
        <v>560</v>
      </c>
      <c r="B323" s="369" t="s">
        <v>561</v>
      </c>
      <c r="C323" s="370"/>
      <c r="D323" s="370"/>
      <c r="E323" s="177">
        <v>0</v>
      </c>
      <c r="F323" s="177">
        <v>37500</v>
      </c>
      <c r="G323" s="25"/>
      <c r="H323" s="177">
        <v>37500</v>
      </c>
      <c r="I323" s="25"/>
      <c r="J323" s="177">
        <v>0</v>
      </c>
      <c r="K323" s="25">
        <f t="shared" si="4"/>
        <v>0</v>
      </c>
    </row>
    <row r="324" spans="1:11" ht="15.95" customHeight="1" x14ac:dyDescent="0.2">
      <c r="A324" s="156" t="s">
        <v>562</v>
      </c>
      <c r="B324" s="369" t="s">
        <v>563</v>
      </c>
      <c r="C324" s="370"/>
      <c r="D324" s="370"/>
      <c r="E324" s="177">
        <v>0</v>
      </c>
      <c r="F324" s="177">
        <v>1749367.18</v>
      </c>
      <c r="G324" s="25"/>
      <c r="H324" s="177">
        <v>1749367.18</v>
      </c>
      <c r="I324" s="25"/>
      <c r="J324" s="177">
        <v>0</v>
      </c>
      <c r="K324" s="25">
        <f t="shared" ref="K324:K387" si="5">J324-E324</f>
        <v>0</v>
      </c>
    </row>
    <row r="325" spans="1:11" ht="15.95" customHeight="1" x14ac:dyDescent="0.2">
      <c r="A325" s="156" t="s">
        <v>564</v>
      </c>
      <c r="B325" s="369" t="s">
        <v>565</v>
      </c>
      <c r="C325" s="370"/>
      <c r="D325" s="370"/>
      <c r="E325" s="177">
        <v>0</v>
      </c>
      <c r="F325" s="177">
        <v>8860</v>
      </c>
      <c r="G325" s="25"/>
      <c r="H325" s="177">
        <v>8860</v>
      </c>
      <c r="I325" s="25"/>
      <c r="J325" s="177">
        <v>0</v>
      </c>
      <c r="K325" s="25">
        <f t="shared" si="5"/>
        <v>0</v>
      </c>
    </row>
    <row r="326" spans="1:11" ht="27.95" customHeight="1" x14ac:dyDescent="0.2">
      <c r="A326" s="156" t="s">
        <v>1820</v>
      </c>
      <c r="B326" s="369" t="s">
        <v>1821</v>
      </c>
      <c r="C326" s="370"/>
      <c r="D326" s="370"/>
      <c r="E326" s="177">
        <v>0</v>
      </c>
      <c r="F326" s="177">
        <v>1600</v>
      </c>
      <c r="G326" s="25"/>
      <c r="H326" s="177">
        <v>1600</v>
      </c>
      <c r="I326" s="25"/>
      <c r="J326" s="177">
        <v>0</v>
      </c>
      <c r="K326" s="25">
        <f t="shared" si="5"/>
        <v>0</v>
      </c>
    </row>
    <row r="327" spans="1:11" ht="15.95" customHeight="1" x14ac:dyDescent="0.2">
      <c r="A327" s="156" t="s">
        <v>1822</v>
      </c>
      <c r="B327" s="369" t="s">
        <v>1823</v>
      </c>
      <c r="C327" s="370"/>
      <c r="D327" s="370"/>
      <c r="E327" s="177">
        <v>0</v>
      </c>
      <c r="F327" s="177">
        <v>925541.03</v>
      </c>
      <c r="G327" s="25"/>
      <c r="H327" s="177">
        <v>925541.03</v>
      </c>
      <c r="I327" s="25"/>
      <c r="J327" s="177">
        <v>0</v>
      </c>
      <c r="K327" s="25">
        <f t="shared" si="5"/>
        <v>0</v>
      </c>
    </row>
    <row r="328" spans="1:11" ht="15.95" customHeight="1" x14ac:dyDescent="0.2">
      <c r="A328" s="156" t="s">
        <v>1824</v>
      </c>
      <c r="B328" s="369" t="s">
        <v>1825</v>
      </c>
      <c r="C328" s="370"/>
      <c r="D328" s="370"/>
      <c r="E328" s="177">
        <v>0</v>
      </c>
      <c r="F328" s="177">
        <v>16099.12</v>
      </c>
      <c r="G328" s="25"/>
      <c r="H328" s="177">
        <v>26420.65</v>
      </c>
      <c r="I328" s="25"/>
      <c r="J328" s="177">
        <v>-10321.530000000001</v>
      </c>
      <c r="K328" s="25">
        <f t="shared" si="5"/>
        <v>-10321.530000000001</v>
      </c>
    </row>
    <row r="329" spans="1:11" ht="15.95" customHeight="1" x14ac:dyDescent="0.2">
      <c r="A329" s="156" t="s">
        <v>1826</v>
      </c>
      <c r="B329" s="369" t="s">
        <v>1827</v>
      </c>
      <c r="C329" s="370"/>
      <c r="D329" s="370"/>
      <c r="E329" s="177">
        <v>0</v>
      </c>
      <c r="F329" s="177">
        <v>5742</v>
      </c>
      <c r="G329" s="25"/>
      <c r="H329" s="177">
        <v>5742</v>
      </c>
      <c r="I329" s="25"/>
      <c r="J329" s="177">
        <v>0</v>
      </c>
      <c r="K329" s="25">
        <f t="shared" si="5"/>
        <v>0</v>
      </c>
    </row>
    <row r="330" spans="1:11" ht="15.95" customHeight="1" x14ac:dyDescent="0.2">
      <c r="A330" s="156" t="s">
        <v>1828</v>
      </c>
      <c r="B330" s="369" t="s">
        <v>1829</v>
      </c>
      <c r="C330" s="370"/>
      <c r="D330" s="370"/>
      <c r="E330" s="177">
        <v>0</v>
      </c>
      <c r="F330" s="177">
        <v>765</v>
      </c>
      <c r="G330" s="25"/>
      <c r="H330" s="177">
        <v>765</v>
      </c>
      <c r="I330" s="25"/>
      <c r="J330" s="177">
        <v>0</v>
      </c>
      <c r="K330" s="25">
        <f t="shared" si="5"/>
        <v>0</v>
      </c>
    </row>
    <row r="331" spans="1:11" ht="15.95" customHeight="1" x14ac:dyDescent="0.2">
      <c r="A331" s="156" t="s">
        <v>1830</v>
      </c>
      <c r="B331" s="369" t="s">
        <v>1831</v>
      </c>
      <c r="C331" s="370"/>
      <c r="D331" s="370"/>
      <c r="E331" s="177">
        <v>0</v>
      </c>
      <c r="F331" s="177">
        <v>0</v>
      </c>
      <c r="G331" s="25"/>
      <c r="H331" s="177">
        <v>49000</v>
      </c>
      <c r="I331" s="25"/>
      <c r="J331" s="177">
        <v>-49000</v>
      </c>
      <c r="K331" s="25">
        <f t="shared" si="5"/>
        <v>-49000</v>
      </c>
    </row>
    <row r="332" spans="1:11" ht="15.95" customHeight="1" x14ac:dyDescent="0.2">
      <c r="A332" s="156" t="s">
        <v>1832</v>
      </c>
      <c r="B332" s="369" t="s">
        <v>1833</v>
      </c>
      <c r="C332" s="370"/>
      <c r="D332" s="370"/>
      <c r="E332" s="177">
        <v>0</v>
      </c>
      <c r="F332" s="177">
        <v>741</v>
      </c>
      <c r="G332" s="25"/>
      <c r="H332" s="177">
        <v>741</v>
      </c>
      <c r="I332" s="25"/>
      <c r="J332" s="177">
        <v>0</v>
      </c>
      <c r="K332" s="25">
        <f t="shared" si="5"/>
        <v>0</v>
      </c>
    </row>
    <row r="333" spans="1:11" ht="15.95" customHeight="1" x14ac:dyDescent="0.2">
      <c r="A333" s="156" t="s">
        <v>1834</v>
      </c>
      <c r="B333" s="369" t="s">
        <v>1835</v>
      </c>
      <c r="C333" s="370"/>
      <c r="D333" s="370"/>
      <c r="E333" s="177">
        <v>0</v>
      </c>
      <c r="F333" s="177">
        <v>635.1</v>
      </c>
      <c r="G333" s="25"/>
      <c r="H333" s="177">
        <v>635.1</v>
      </c>
      <c r="I333" s="25"/>
      <c r="J333" s="177">
        <v>0</v>
      </c>
      <c r="K333" s="25">
        <f t="shared" si="5"/>
        <v>0</v>
      </c>
    </row>
    <row r="334" spans="1:11" ht="15.95" customHeight="1" x14ac:dyDescent="0.2">
      <c r="A334" s="156">
        <v>2110102</v>
      </c>
      <c r="B334" s="369" t="s">
        <v>566</v>
      </c>
      <c r="C334" s="370"/>
      <c r="D334" s="370"/>
      <c r="E334" s="177">
        <v>-5934.54</v>
      </c>
      <c r="F334" s="177">
        <v>2545332.8199999998</v>
      </c>
      <c r="G334" s="25"/>
      <c r="H334" s="177">
        <v>2707192.19</v>
      </c>
      <c r="I334" s="25"/>
      <c r="J334" s="177">
        <v>-167793.91</v>
      </c>
      <c r="K334" s="25">
        <f t="shared" si="5"/>
        <v>-161859.37</v>
      </c>
    </row>
    <row r="335" spans="1:11" ht="15.95" customHeight="1" x14ac:dyDescent="0.2">
      <c r="A335" s="156" t="s">
        <v>567</v>
      </c>
      <c r="B335" s="369" t="s">
        <v>568</v>
      </c>
      <c r="C335" s="370"/>
      <c r="D335" s="370"/>
      <c r="E335" s="177">
        <v>0</v>
      </c>
      <c r="F335" s="177">
        <v>1304</v>
      </c>
      <c r="G335" s="25"/>
      <c r="H335" s="177">
        <v>1304</v>
      </c>
      <c r="I335" s="25"/>
      <c r="J335" s="177">
        <v>0</v>
      </c>
      <c r="K335" s="25">
        <f t="shared" si="5"/>
        <v>0</v>
      </c>
    </row>
    <row r="336" spans="1:11" ht="15.95" customHeight="1" x14ac:dyDescent="0.2">
      <c r="A336" s="156" t="s">
        <v>569</v>
      </c>
      <c r="B336" s="369" t="s">
        <v>570</v>
      </c>
      <c r="C336" s="370"/>
      <c r="D336" s="370"/>
      <c r="E336" s="177">
        <v>0</v>
      </c>
      <c r="F336" s="177">
        <v>138537.67000000001</v>
      </c>
      <c r="G336" s="25"/>
      <c r="H336" s="177">
        <v>138537.67000000001</v>
      </c>
      <c r="I336" s="25"/>
      <c r="J336" s="177">
        <v>0</v>
      </c>
      <c r="K336" s="25">
        <f t="shared" si="5"/>
        <v>0</v>
      </c>
    </row>
    <row r="337" spans="1:11" ht="15.95" customHeight="1" x14ac:dyDescent="0.2">
      <c r="A337" s="156" t="s">
        <v>571</v>
      </c>
      <c r="B337" s="369" t="s">
        <v>572</v>
      </c>
      <c r="C337" s="370"/>
      <c r="D337" s="370"/>
      <c r="E337" s="177">
        <v>0</v>
      </c>
      <c r="F337" s="177">
        <v>19174.080000000002</v>
      </c>
      <c r="G337" s="25"/>
      <c r="H337" s="177">
        <v>19174.080000000002</v>
      </c>
      <c r="I337" s="25"/>
      <c r="J337" s="177">
        <v>0</v>
      </c>
      <c r="K337" s="25">
        <f t="shared" si="5"/>
        <v>0</v>
      </c>
    </row>
    <row r="338" spans="1:11" ht="15.95" customHeight="1" x14ac:dyDescent="0.2">
      <c r="A338" s="156" t="s">
        <v>573</v>
      </c>
      <c r="B338" s="369" t="s">
        <v>574</v>
      </c>
      <c r="C338" s="370"/>
      <c r="D338" s="370"/>
      <c r="E338" s="177">
        <v>0</v>
      </c>
      <c r="F338" s="177">
        <v>87007.64</v>
      </c>
      <c r="G338" s="25"/>
      <c r="H338" s="177">
        <v>87007.64</v>
      </c>
      <c r="I338" s="25"/>
      <c r="J338" s="177">
        <v>0</v>
      </c>
      <c r="K338" s="25">
        <f t="shared" si="5"/>
        <v>0</v>
      </c>
    </row>
    <row r="339" spans="1:11" ht="15.95" customHeight="1" x14ac:dyDescent="0.2">
      <c r="A339" s="156" t="s">
        <v>575</v>
      </c>
      <c r="B339" s="369" t="s">
        <v>576</v>
      </c>
      <c r="C339" s="370"/>
      <c r="D339" s="370"/>
      <c r="E339" s="177">
        <v>-1600</v>
      </c>
      <c r="F339" s="177">
        <v>22083</v>
      </c>
      <c r="G339" s="25"/>
      <c r="H339" s="177">
        <v>20486</v>
      </c>
      <c r="I339" s="25"/>
      <c r="J339" s="177">
        <v>-3</v>
      </c>
      <c r="K339" s="25">
        <f t="shared" si="5"/>
        <v>1597</v>
      </c>
    </row>
    <row r="340" spans="1:11" ht="15.95" customHeight="1" x14ac:dyDescent="0.2">
      <c r="A340" s="156" t="s">
        <v>1605</v>
      </c>
      <c r="B340" s="369" t="s">
        <v>1606</v>
      </c>
      <c r="C340" s="370"/>
      <c r="D340" s="370"/>
      <c r="E340" s="177">
        <v>0</v>
      </c>
      <c r="F340" s="177">
        <v>1690</v>
      </c>
      <c r="G340" s="25"/>
      <c r="H340" s="177">
        <v>1690</v>
      </c>
      <c r="I340" s="25"/>
      <c r="J340" s="177">
        <v>0</v>
      </c>
      <c r="K340" s="25">
        <f t="shared" si="5"/>
        <v>0</v>
      </c>
    </row>
    <row r="341" spans="1:11" ht="15.95" customHeight="1" x14ac:dyDescent="0.2">
      <c r="A341" s="156" t="s">
        <v>577</v>
      </c>
      <c r="B341" s="369" t="s">
        <v>578</v>
      </c>
      <c r="C341" s="370"/>
      <c r="D341" s="370"/>
      <c r="E341" s="177">
        <v>0</v>
      </c>
      <c r="F341" s="177">
        <v>17362</v>
      </c>
      <c r="G341" s="25"/>
      <c r="H341" s="177">
        <v>17362</v>
      </c>
      <c r="I341" s="25"/>
      <c r="J341" s="177">
        <v>0</v>
      </c>
      <c r="K341" s="25">
        <f t="shared" si="5"/>
        <v>0</v>
      </c>
    </row>
    <row r="342" spans="1:11" ht="15.95" customHeight="1" x14ac:dyDescent="0.2">
      <c r="A342" s="156" t="s">
        <v>579</v>
      </c>
      <c r="B342" s="369" t="s">
        <v>580</v>
      </c>
      <c r="C342" s="370"/>
      <c r="D342" s="370"/>
      <c r="E342" s="177">
        <v>0</v>
      </c>
      <c r="F342" s="177">
        <v>11556.67</v>
      </c>
      <c r="G342" s="25"/>
      <c r="H342" s="177">
        <v>11556.67</v>
      </c>
      <c r="I342" s="25"/>
      <c r="J342" s="177">
        <v>0</v>
      </c>
      <c r="K342" s="25">
        <f t="shared" si="5"/>
        <v>0</v>
      </c>
    </row>
    <row r="343" spans="1:11" ht="15.95" customHeight="1" x14ac:dyDescent="0.2">
      <c r="A343" s="156" t="s">
        <v>581</v>
      </c>
      <c r="B343" s="369" t="s">
        <v>582</v>
      </c>
      <c r="C343" s="370"/>
      <c r="D343" s="370"/>
      <c r="E343" s="177">
        <v>0</v>
      </c>
      <c r="F343" s="177">
        <v>1934126.05</v>
      </c>
      <c r="G343" s="25"/>
      <c r="H343" s="177">
        <v>1934126.05</v>
      </c>
      <c r="I343" s="25"/>
      <c r="J343" s="177">
        <v>0</v>
      </c>
      <c r="K343" s="25">
        <f t="shared" si="5"/>
        <v>0</v>
      </c>
    </row>
    <row r="344" spans="1:11" ht="15.95" customHeight="1" x14ac:dyDescent="0.2">
      <c r="A344" s="156" t="s">
        <v>1836</v>
      </c>
      <c r="B344" s="369" t="s">
        <v>1837</v>
      </c>
      <c r="C344" s="370"/>
      <c r="D344" s="370"/>
      <c r="E344" s="177">
        <v>0</v>
      </c>
      <c r="F344" s="177">
        <v>8700</v>
      </c>
      <c r="G344" s="25"/>
      <c r="H344" s="177">
        <v>8700</v>
      </c>
      <c r="I344" s="25"/>
      <c r="J344" s="177">
        <v>0</v>
      </c>
      <c r="K344" s="25">
        <f t="shared" si="5"/>
        <v>0</v>
      </c>
    </row>
    <row r="345" spans="1:11" ht="15.95" customHeight="1" x14ac:dyDescent="0.2">
      <c r="A345" s="156" t="s">
        <v>583</v>
      </c>
      <c r="B345" s="369" t="s">
        <v>584</v>
      </c>
      <c r="C345" s="370"/>
      <c r="D345" s="370"/>
      <c r="E345" s="177">
        <v>-3793.16</v>
      </c>
      <c r="F345" s="177">
        <v>0</v>
      </c>
      <c r="G345" s="25"/>
      <c r="H345" s="177">
        <v>0</v>
      </c>
      <c r="I345" s="25"/>
      <c r="J345" s="177">
        <v>-3793.16</v>
      </c>
      <c r="K345" s="25">
        <f t="shared" si="5"/>
        <v>0</v>
      </c>
    </row>
    <row r="346" spans="1:11" ht="15.95" customHeight="1" x14ac:dyDescent="0.2">
      <c r="A346" s="156" t="s">
        <v>585</v>
      </c>
      <c r="B346" s="369" t="s">
        <v>586</v>
      </c>
      <c r="C346" s="370"/>
      <c r="D346" s="370"/>
      <c r="E346" s="177">
        <v>0</v>
      </c>
      <c r="F346" s="177">
        <v>1477.45</v>
      </c>
      <c r="G346" s="25"/>
      <c r="H346" s="177">
        <v>1477.45</v>
      </c>
      <c r="I346" s="25"/>
      <c r="J346" s="177">
        <v>0</v>
      </c>
      <c r="K346" s="25">
        <f t="shared" si="5"/>
        <v>0</v>
      </c>
    </row>
    <row r="347" spans="1:11" ht="15.95" customHeight="1" x14ac:dyDescent="0.2">
      <c r="A347" s="156" t="s">
        <v>1838</v>
      </c>
      <c r="B347" s="369" t="s">
        <v>1839</v>
      </c>
      <c r="C347" s="370"/>
      <c r="D347" s="370"/>
      <c r="E347" s="177">
        <v>0</v>
      </c>
      <c r="F347" s="177">
        <v>700</v>
      </c>
      <c r="G347" s="25"/>
      <c r="H347" s="177">
        <v>700</v>
      </c>
      <c r="I347" s="25"/>
      <c r="J347" s="177">
        <v>0</v>
      </c>
      <c r="K347" s="25">
        <f t="shared" si="5"/>
        <v>0</v>
      </c>
    </row>
    <row r="348" spans="1:11" ht="15.95" customHeight="1" x14ac:dyDescent="0.2">
      <c r="A348" s="156" t="s">
        <v>587</v>
      </c>
      <c r="B348" s="369" t="s">
        <v>588</v>
      </c>
      <c r="C348" s="370"/>
      <c r="D348" s="370"/>
      <c r="E348" s="177">
        <v>0</v>
      </c>
      <c r="F348" s="177">
        <v>0</v>
      </c>
      <c r="G348" s="25"/>
      <c r="H348" s="177">
        <v>163997.75</v>
      </c>
      <c r="I348" s="25"/>
      <c r="J348" s="177">
        <v>-163997.75</v>
      </c>
      <c r="K348" s="25">
        <f t="shared" si="5"/>
        <v>-163997.75</v>
      </c>
    </row>
    <row r="349" spans="1:11" ht="15.95" customHeight="1" x14ac:dyDescent="0.2">
      <c r="A349" s="156" t="s">
        <v>589</v>
      </c>
      <c r="B349" s="369" t="s">
        <v>590</v>
      </c>
      <c r="C349" s="370"/>
      <c r="D349" s="370"/>
      <c r="E349" s="177">
        <v>0</v>
      </c>
      <c r="F349" s="177">
        <v>1900</v>
      </c>
      <c r="G349" s="25"/>
      <c r="H349" s="177">
        <v>1900</v>
      </c>
      <c r="I349" s="25"/>
      <c r="J349" s="177">
        <v>0</v>
      </c>
      <c r="K349" s="25">
        <f t="shared" si="5"/>
        <v>0</v>
      </c>
    </row>
    <row r="350" spans="1:11" ht="15.95" customHeight="1" x14ac:dyDescent="0.2">
      <c r="A350" s="156" t="s">
        <v>591</v>
      </c>
      <c r="B350" s="369" t="s">
        <v>592</v>
      </c>
      <c r="C350" s="370"/>
      <c r="D350" s="370"/>
      <c r="E350" s="177">
        <v>0</v>
      </c>
      <c r="F350" s="177">
        <v>15000</v>
      </c>
      <c r="G350" s="25"/>
      <c r="H350" s="177">
        <v>15000</v>
      </c>
      <c r="I350" s="25"/>
      <c r="J350" s="177">
        <v>0</v>
      </c>
      <c r="K350" s="25">
        <f t="shared" si="5"/>
        <v>0</v>
      </c>
    </row>
    <row r="351" spans="1:11" ht="15.95" customHeight="1" x14ac:dyDescent="0.2">
      <c r="A351" s="156" t="s">
        <v>593</v>
      </c>
      <c r="B351" s="369" t="s">
        <v>594</v>
      </c>
      <c r="C351" s="370"/>
      <c r="D351" s="370"/>
      <c r="E351" s="177">
        <v>0</v>
      </c>
      <c r="F351" s="177">
        <v>170170</v>
      </c>
      <c r="G351" s="25"/>
      <c r="H351" s="177">
        <v>170170</v>
      </c>
      <c r="I351" s="25"/>
      <c r="J351" s="177">
        <v>0</v>
      </c>
      <c r="K351" s="25">
        <f t="shared" si="5"/>
        <v>0</v>
      </c>
    </row>
    <row r="352" spans="1:11" ht="15.95" customHeight="1" x14ac:dyDescent="0.2">
      <c r="A352" s="156" t="s">
        <v>595</v>
      </c>
      <c r="B352" s="369" t="s">
        <v>596</v>
      </c>
      <c r="C352" s="370"/>
      <c r="D352" s="370"/>
      <c r="E352" s="177">
        <v>0</v>
      </c>
      <c r="F352" s="177">
        <v>1290</v>
      </c>
      <c r="G352" s="25"/>
      <c r="H352" s="177">
        <v>1290</v>
      </c>
      <c r="I352" s="25"/>
      <c r="J352" s="177">
        <v>0</v>
      </c>
      <c r="K352" s="25">
        <f t="shared" si="5"/>
        <v>0</v>
      </c>
    </row>
    <row r="353" spans="1:11" ht="15.95" customHeight="1" x14ac:dyDescent="0.2">
      <c r="A353" s="156" t="s">
        <v>597</v>
      </c>
      <c r="B353" s="369" t="s">
        <v>598</v>
      </c>
      <c r="C353" s="370"/>
      <c r="D353" s="370"/>
      <c r="E353" s="177">
        <v>-541.38</v>
      </c>
      <c r="F353" s="177">
        <v>7305.61</v>
      </c>
      <c r="G353" s="25"/>
      <c r="H353" s="177">
        <v>6764.23</v>
      </c>
      <c r="I353" s="25"/>
      <c r="J353" s="177">
        <v>0</v>
      </c>
      <c r="K353" s="25">
        <f t="shared" si="5"/>
        <v>541.38</v>
      </c>
    </row>
    <row r="354" spans="1:11" ht="15.95" customHeight="1" x14ac:dyDescent="0.2">
      <c r="A354" s="156" t="s">
        <v>599</v>
      </c>
      <c r="B354" s="369" t="s">
        <v>600</v>
      </c>
      <c r="C354" s="370"/>
      <c r="D354" s="370"/>
      <c r="E354" s="177">
        <v>0</v>
      </c>
      <c r="F354" s="177">
        <v>13848.01</v>
      </c>
      <c r="G354" s="25"/>
      <c r="H354" s="177">
        <v>13848.01</v>
      </c>
      <c r="I354" s="25"/>
      <c r="J354" s="177">
        <v>0</v>
      </c>
      <c r="K354" s="25">
        <f t="shared" si="5"/>
        <v>0</v>
      </c>
    </row>
    <row r="355" spans="1:11" ht="15.95" customHeight="1" x14ac:dyDescent="0.2">
      <c r="A355" s="156" t="s">
        <v>601</v>
      </c>
      <c r="B355" s="369" t="s">
        <v>602</v>
      </c>
      <c r="C355" s="370"/>
      <c r="D355" s="370"/>
      <c r="E355" s="177">
        <v>0</v>
      </c>
      <c r="F355" s="177">
        <v>28453.99</v>
      </c>
      <c r="G355" s="25"/>
      <c r="H355" s="177">
        <v>28453.99</v>
      </c>
      <c r="I355" s="25"/>
      <c r="J355" s="177">
        <v>0</v>
      </c>
      <c r="K355" s="25">
        <f t="shared" si="5"/>
        <v>0</v>
      </c>
    </row>
    <row r="356" spans="1:11" ht="15.95" customHeight="1" x14ac:dyDescent="0.2">
      <c r="A356" s="156" t="s">
        <v>1840</v>
      </c>
      <c r="B356" s="369" t="s">
        <v>1841</v>
      </c>
      <c r="C356" s="370"/>
      <c r="D356" s="370"/>
      <c r="E356" s="177">
        <v>0</v>
      </c>
      <c r="F356" s="177">
        <v>8340</v>
      </c>
      <c r="G356" s="25"/>
      <c r="H356" s="177">
        <v>8340</v>
      </c>
      <c r="I356" s="25"/>
      <c r="J356" s="177">
        <v>0</v>
      </c>
      <c r="K356" s="25">
        <f t="shared" si="5"/>
        <v>0</v>
      </c>
    </row>
    <row r="357" spans="1:11" ht="15.95" customHeight="1" x14ac:dyDescent="0.2">
      <c r="A357" s="156" t="s">
        <v>603</v>
      </c>
      <c r="B357" s="369" t="s">
        <v>604</v>
      </c>
      <c r="C357" s="370"/>
      <c r="D357" s="370"/>
      <c r="E357" s="177">
        <v>0</v>
      </c>
      <c r="F357" s="177">
        <v>30000</v>
      </c>
      <c r="G357" s="25"/>
      <c r="H357" s="177">
        <v>30000</v>
      </c>
      <c r="I357" s="25"/>
      <c r="J357" s="177">
        <v>0</v>
      </c>
      <c r="K357" s="25">
        <f t="shared" si="5"/>
        <v>0</v>
      </c>
    </row>
    <row r="358" spans="1:11" ht="15.95" customHeight="1" x14ac:dyDescent="0.2">
      <c r="A358" s="156" t="s">
        <v>605</v>
      </c>
      <c r="B358" s="369" t="s">
        <v>606</v>
      </c>
      <c r="C358" s="370"/>
      <c r="D358" s="370"/>
      <c r="E358" s="177">
        <v>0</v>
      </c>
      <c r="F358" s="177">
        <v>1340</v>
      </c>
      <c r="G358" s="25"/>
      <c r="H358" s="177">
        <v>1340</v>
      </c>
      <c r="I358" s="25"/>
      <c r="J358" s="177">
        <v>0</v>
      </c>
      <c r="K358" s="25">
        <f t="shared" si="5"/>
        <v>0</v>
      </c>
    </row>
    <row r="359" spans="1:11" ht="15.95" customHeight="1" x14ac:dyDescent="0.2">
      <c r="A359" s="156" t="s">
        <v>607</v>
      </c>
      <c r="B359" s="369" t="s">
        <v>608</v>
      </c>
      <c r="C359" s="370"/>
      <c r="D359" s="370"/>
      <c r="E359" s="177">
        <v>0</v>
      </c>
      <c r="F359" s="177">
        <v>6862.8</v>
      </c>
      <c r="G359" s="25"/>
      <c r="H359" s="177">
        <v>6862.8</v>
      </c>
      <c r="I359" s="25"/>
      <c r="J359" s="177">
        <v>0</v>
      </c>
      <c r="K359" s="25">
        <f t="shared" si="5"/>
        <v>0</v>
      </c>
    </row>
    <row r="360" spans="1:11" ht="15.95" customHeight="1" x14ac:dyDescent="0.2">
      <c r="A360" s="156" t="s">
        <v>609</v>
      </c>
      <c r="B360" s="369" t="s">
        <v>610</v>
      </c>
      <c r="C360" s="370"/>
      <c r="D360" s="370"/>
      <c r="E360" s="177">
        <v>0</v>
      </c>
      <c r="F360" s="177">
        <v>3621.3</v>
      </c>
      <c r="G360" s="25"/>
      <c r="H360" s="177">
        <v>3621.3</v>
      </c>
      <c r="I360" s="25"/>
      <c r="J360" s="177">
        <v>0</v>
      </c>
      <c r="K360" s="25">
        <f t="shared" si="5"/>
        <v>0</v>
      </c>
    </row>
    <row r="361" spans="1:11" ht="15.95" customHeight="1" x14ac:dyDescent="0.2">
      <c r="A361" s="156" t="s">
        <v>611</v>
      </c>
      <c r="B361" s="369" t="s">
        <v>612</v>
      </c>
      <c r="C361" s="370"/>
      <c r="D361" s="370"/>
      <c r="E361" s="177">
        <v>0</v>
      </c>
      <c r="F361" s="177">
        <v>1040</v>
      </c>
      <c r="G361" s="25"/>
      <c r="H361" s="177">
        <v>1040</v>
      </c>
      <c r="I361" s="25"/>
      <c r="J361" s="177">
        <v>0</v>
      </c>
      <c r="K361" s="25">
        <f t="shared" si="5"/>
        <v>0</v>
      </c>
    </row>
    <row r="362" spans="1:11" ht="15.95" customHeight="1" x14ac:dyDescent="0.2">
      <c r="A362" s="156" t="s">
        <v>613</v>
      </c>
      <c r="B362" s="369" t="s">
        <v>614</v>
      </c>
      <c r="C362" s="370"/>
      <c r="D362" s="370"/>
      <c r="E362" s="177">
        <v>0</v>
      </c>
      <c r="F362" s="177">
        <v>12200</v>
      </c>
      <c r="G362" s="25"/>
      <c r="H362" s="177">
        <v>12200</v>
      </c>
      <c r="I362" s="25"/>
      <c r="J362" s="177">
        <v>0</v>
      </c>
      <c r="K362" s="25">
        <f t="shared" si="5"/>
        <v>0</v>
      </c>
    </row>
    <row r="363" spans="1:11" ht="15.95" customHeight="1" x14ac:dyDescent="0.2">
      <c r="A363" s="156" t="s">
        <v>1842</v>
      </c>
      <c r="B363" s="369" t="s">
        <v>1843</v>
      </c>
      <c r="C363" s="370"/>
      <c r="D363" s="370"/>
      <c r="E363" s="177">
        <v>0</v>
      </c>
      <c r="F363" s="177">
        <v>242.55</v>
      </c>
      <c r="G363" s="25"/>
      <c r="H363" s="177">
        <v>242.55</v>
      </c>
      <c r="I363" s="25"/>
      <c r="J363" s="177">
        <v>0</v>
      </c>
      <c r="K363" s="25">
        <f t="shared" si="5"/>
        <v>0</v>
      </c>
    </row>
    <row r="364" spans="1:11" ht="15.95" customHeight="1" x14ac:dyDescent="0.2">
      <c r="A364" s="158">
        <v>213</v>
      </c>
      <c r="B364" s="371" t="s">
        <v>615</v>
      </c>
      <c r="C364" s="372"/>
      <c r="D364" s="372"/>
      <c r="E364" s="178">
        <v>-2715092.86</v>
      </c>
      <c r="F364" s="178">
        <v>13372810.92</v>
      </c>
      <c r="G364" s="31"/>
      <c r="H364" s="178">
        <v>13512737.619999999</v>
      </c>
      <c r="I364" s="31"/>
      <c r="J364" s="178">
        <v>-2855019.56</v>
      </c>
      <c r="K364" s="31">
        <f t="shared" si="5"/>
        <v>-139926.70000000019</v>
      </c>
    </row>
    <row r="365" spans="1:11" ht="15.95" customHeight="1" x14ac:dyDescent="0.2">
      <c r="A365" s="156">
        <v>21301</v>
      </c>
      <c r="B365" s="369" t="s">
        <v>615</v>
      </c>
      <c r="C365" s="370"/>
      <c r="D365" s="370"/>
      <c r="E365" s="177">
        <v>-2715092.86</v>
      </c>
      <c r="F365" s="177">
        <v>13372810.92</v>
      </c>
      <c r="G365" s="25"/>
      <c r="H365" s="177">
        <v>13512737.619999999</v>
      </c>
      <c r="I365" s="25"/>
      <c r="J365" s="177">
        <v>-2855019.56</v>
      </c>
      <c r="K365" s="25">
        <f t="shared" si="5"/>
        <v>-139926.70000000019</v>
      </c>
    </row>
    <row r="366" spans="1:11" ht="15.95" customHeight="1" x14ac:dyDescent="0.2">
      <c r="A366" s="156">
        <v>2130101</v>
      </c>
      <c r="B366" s="369" t="s">
        <v>615</v>
      </c>
      <c r="C366" s="370"/>
      <c r="D366" s="370"/>
      <c r="E366" s="177">
        <v>-2715092.86</v>
      </c>
      <c r="F366" s="177">
        <v>13372810.92</v>
      </c>
      <c r="G366" s="25"/>
      <c r="H366" s="177">
        <v>13512737.619999999</v>
      </c>
      <c r="I366" s="25"/>
      <c r="J366" s="177">
        <v>-2855019.56</v>
      </c>
      <c r="K366" s="25">
        <f t="shared" si="5"/>
        <v>-139926.70000000019</v>
      </c>
    </row>
    <row r="367" spans="1:11" ht="15.95" customHeight="1" x14ac:dyDescent="0.2">
      <c r="A367" s="156" t="s">
        <v>616</v>
      </c>
      <c r="B367" s="369" t="s">
        <v>617</v>
      </c>
      <c r="C367" s="370"/>
      <c r="D367" s="370"/>
      <c r="E367" s="177">
        <v>-526958.93000000005</v>
      </c>
      <c r="F367" s="177">
        <v>9402339.3100000005</v>
      </c>
      <c r="G367" s="25"/>
      <c r="H367" s="177">
        <v>9597760.4100000001</v>
      </c>
      <c r="I367" s="25"/>
      <c r="J367" s="177">
        <v>-722380.03</v>
      </c>
      <c r="K367" s="25">
        <f t="shared" si="5"/>
        <v>-195421.09999999998</v>
      </c>
    </row>
    <row r="368" spans="1:11" ht="15.95" customHeight="1" x14ac:dyDescent="0.2">
      <c r="A368" s="156" t="s">
        <v>618</v>
      </c>
      <c r="B368" s="369" t="s">
        <v>619</v>
      </c>
      <c r="C368" s="370"/>
      <c r="D368" s="370"/>
      <c r="E368" s="177">
        <v>0</v>
      </c>
      <c r="F368" s="177">
        <v>1730910.67</v>
      </c>
      <c r="G368" s="25"/>
      <c r="H368" s="177">
        <v>1730910.67</v>
      </c>
      <c r="I368" s="25"/>
      <c r="J368" s="177">
        <v>0</v>
      </c>
      <c r="K368" s="25">
        <f t="shared" si="5"/>
        <v>0</v>
      </c>
    </row>
    <row r="369" spans="1:11" ht="15.95" customHeight="1" x14ac:dyDescent="0.2">
      <c r="A369" s="156" t="s">
        <v>620</v>
      </c>
      <c r="B369" s="369" t="s">
        <v>621</v>
      </c>
      <c r="C369" s="370"/>
      <c r="D369" s="370"/>
      <c r="E369" s="177">
        <v>-142268.78</v>
      </c>
      <c r="F369" s="177">
        <v>1542219.06</v>
      </c>
      <c r="G369" s="25"/>
      <c r="H369" s="177">
        <v>1399950.28</v>
      </c>
      <c r="I369" s="25"/>
      <c r="J369" s="177">
        <v>0</v>
      </c>
      <c r="K369" s="25">
        <f t="shared" si="5"/>
        <v>142268.78</v>
      </c>
    </row>
    <row r="370" spans="1:11" ht="15.95" customHeight="1" x14ac:dyDescent="0.2">
      <c r="A370" s="156" t="s">
        <v>622</v>
      </c>
      <c r="B370" s="369" t="s">
        <v>623</v>
      </c>
      <c r="C370" s="370"/>
      <c r="D370" s="370"/>
      <c r="E370" s="177">
        <v>-2013013.71</v>
      </c>
      <c r="F370" s="177">
        <v>419101.66</v>
      </c>
      <c r="G370" s="25"/>
      <c r="H370" s="177">
        <v>517162.96</v>
      </c>
      <c r="I370" s="25"/>
      <c r="J370" s="177">
        <v>-2111075.0099999998</v>
      </c>
      <c r="K370" s="25">
        <f t="shared" si="5"/>
        <v>-98061.299999999814</v>
      </c>
    </row>
    <row r="371" spans="1:11" ht="15.95" customHeight="1" x14ac:dyDescent="0.2">
      <c r="A371" s="156" t="s">
        <v>624</v>
      </c>
      <c r="B371" s="369" t="s">
        <v>625</v>
      </c>
      <c r="C371" s="370"/>
      <c r="D371" s="370"/>
      <c r="E371" s="177">
        <v>-1500</v>
      </c>
      <c r="F371" s="177">
        <v>1500</v>
      </c>
      <c r="G371" s="25"/>
      <c r="H371" s="177">
        <v>0</v>
      </c>
      <c r="I371" s="25"/>
      <c r="J371" s="177">
        <v>0</v>
      </c>
      <c r="K371" s="25">
        <f t="shared" si="5"/>
        <v>1500</v>
      </c>
    </row>
    <row r="372" spans="1:11" ht="15.95" customHeight="1" x14ac:dyDescent="0.2">
      <c r="A372" s="156" t="s">
        <v>626</v>
      </c>
      <c r="B372" s="369" t="s">
        <v>627</v>
      </c>
      <c r="C372" s="370"/>
      <c r="D372" s="370"/>
      <c r="E372" s="177">
        <v>-31351.439999999999</v>
      </c>
      <c r="F372" s="177">
        <v>276740.21999999997</v>
      </c>
      <c r="G372" s="25"/>
      <c r="H372" s="177">
        <v>266953.3</v>
      </c>
      <c r="I372" s="25"/>
      <c r="J372" s="177">
        <v>-21564.52</v>
      </c>
      <c r="K372" s="25">
        <f t="shared" si="5"/>
        <v>9786.9199999999983</v>
      </c>
    </row>
    <row r="373" spans="1:11" ht="15.95" customHeight="1" x14ac:dyDescent="0.2">
      <c r="A373" s="158">
        <v>214</v>
      </c>
      <c r="B373" s="371" t="s">
        <v>628</v>
      </c>
      <c r="C373" s="372"/>
      <c r="D373" s="372"/>
      <c r="E373" s="178">
        <v>-1926783.61</v>
      </c>
      <c r="F373" s="178">
        <v>12231363.060000001</v>
      </c>
      <c r="G373" s="31"/>
      <c r="H373" s="178">
        <v>14549768.039999999</v>
      </c>
      <c r="I373" s="31"/>
      <c r="J373" s="178">
        <v>-4245188.59</v>
      </c>
      <c r="K373" s="31">
        <f t="shared" si="5"/>
        <v>-2318404.9799999995</v>
      </c>
    </row>
    <row r="374" spans="1:11" ht="15.95" customHeight="1" x14ac:dyDescent="0.2">
      <c r="A374" s="156">
        <v>21401</v>
      </c>
      <c r="B374" s="369" t="s">
        <v>628</v>
      </c>
      <c r="C374" s="370"/>
      <c r="D374" s="370"/>
      <c r="E374" s="177">
        <v>-1926783.61</v>
      </c>
      <c r="F374" s="177">
        <v>12231363.060000001</v>
      </c>
      <c r="G374" s="25"/>
      <c r="H374" s="177">
        <v>14549768.039999999</v>
      </c>
      <c r="I374" s="25"/>
      <c r="J374" s="177">
        <v>-4245188.59</v>
      </c>
      <c r="K374" s="25">
        <f t="shared" si="5"/>
        <v>-2318404.9799999995</v>
      </c>
    </row>
    <row r="375" spans="1:11" ht="15.95" customHeight="1" x14ac:dyDescent="0.2">
      <c r="A375" s="156">
        <v>2140101</v>
      </c>
      <c r="B375" s="369" t="s">
        <v>628</v>
      </c>
      <c r="C375" s="370"/>
      <c r="D375" s="370"/>
      <c r="E375" s="177">
        <v>-1926783.61</v>
      </c>
      <c r="F375" s="177">
        <v>12231363.060000001</v>
      </c>
      <c r="G375" s="25"/>
      <c r="H375" s="177">
        <v>14549768.039999999</v>
      </c>
      <c r="I375" s="25"/>
      <c r="J375" s="177">
        <v>-4245188.59</v>
      </c>
      <c r="K375" s="25">
        <f t="shared" si="5"/>
        <v>-2318404.9799999995</v>
      </c>
    </row>
    <row r="376" spans="1:11" ht="15.95" customHeight="1" x14ac:dyDescent="0.2">
      <c r="A376" s="156" t="s">
        <v>629</v>
      </c>
      <c r="B376" s="369" t="s">
        <v>630</v>
      </c>
      <c r="C376" s="370"/>
      <c r="D376" s="370"/>
      <c r="E376" s="177">
        <v>-410675.5</v>
      </c>
      <c r="F376" s="177">
        <v>3089268.52</v>
      </c>
      <c r="G376" s="25"/>
      <c r="H376" s="177">
        <v>3592277.51</v>
      </c>
      <c r="I376" s="25"/>
      <c r="J376" s="177">
        <v>-913684.49</v>
      </c>
      <c r="K376" s="25">
        <f t="shared" si="5"/>
        <v>-503008.99</v>
      </c>
    </row>
    <row r="377" spans="1:11" ht="15.95" customHeight="1" x14ac:dyDescent="0.2">
      <c r="A377" s="156" t="s">
        <v>631</v>
      </c>
      <c r="B377" s="369" t="s">
        <v>632</v>
      </c>
      <c r="C377" s="370"/>
      <c r="D377" s="370"/>
      <c r="E377" s="177">
        <v>-147643.14000000001</v>
      </c>
      <c r="F377" s="177">
        <v>1512590.5</v>
      </c>
      <c r="G377" s="25"/>
      <c r="H377" s="177">
        <v>1611936.12</v>
      </c>
      <c r="I377" s="25"/>
      <c r="J377" s="177">
        <v>-246988.76</v>
      </c>
      <c r="K377" s="25">
        <f t="shared" si="5"/>
        <v>-99345.62</v>
      </c>
    </row>
    <row r="378" spans="1:11" ht="15.95" customHeight="1" x14ac:dyDescent="0.2">
      <c r="A378" s="156" t="s">
        <v>633</v>
      </c>
      <c r="B378" s="369" t="s">
        <v>634</v>
      </c>
      <c r="C378" s="370"/>
      <c r="D378" s="370"/>
      <c r="E378" s="177">
        <v>-629815.68000000005</v>
      </c>
      <c r="F378" s="177">
        <v>472361.76</v>
      </c>
      <c r="G378" s="25"/>
      <c r="H378" s="177">
        <v>629815.68000000005</v>
      </c>
      <c r="I378" s="25"/>
      <c r="J378" s="177">
        <v>-787269.6</v>
      </c>
      <c r="K378" s="25">
        <f t="shared" si="5"/>
        <v>-157453.91999999993</v>
      </c>
    </row>
    <row r="379" spans="1:11" ht="15.95" customHeight="1" x14ac:dyDescent="0.2">
      <c r="A379" s="156" t="s">
        <v>635</v>
      </c>
      <c r="B379" s="369" t="s">
        <v>636</v>
      </c>
      <c r="C379" s="370"/>
      <c r="D379" s="370"/>
      <c r="E379" s="177">
        <v>-213936.24</v>
      </c>
      <c r="F379" s="177">
        <v>2407238.39</v>
      </c>
      <c r="G379" s="25"/>
      <c r="H379" s="177">
        <v>2406590.48</v>
      </c>
      <c r="I379" s="25"/>
      <c r="J379" s="177">
        <v>-213288.33</v>
      </c>
      <c r="K379" s="25">
        <f t="shared" si="5"/>
        <v>647.91000000000349</v>
      </c>
    </row>
    <row r="380" spans="1:11" ht="27.95" customHeight="1" x14ac:dyDescent="0.2">
      <c r="A380" s="156" t="s">
        <v>637</v>
      </c>
      <c r="B380" s="369" t="s">
        <v>638</v>
      </c>
      <c r="C380" s="370"/>
      <c r="D380" s="370"/>
      <c r="E380" s="177">
        <v>-46414.7</v>
      </c>
      <c r="F380" s="177">
        <v>520855.15</v>
      </c>
      <c r="G380" s="25"/>
      <c r="H380" s="177">
        <v>520490.52</v>
      </c>
      <c r="I380" s="25"/>
      <c r="J380" s="177">
        <v>-46050.07</v>
      </c>
      <c r="K380" s="25">
        <f t="shared" si="5"/>
        <v>364.62999999999738</v>
      </c>
    </row>
    <row r="381" spans="1:11" ht="15.95" customHeight="1" x14ac:dyDescent="0.2">
      <c r="A381" s="156" t="s">
        <v>639</v>
      </c>
      <c r="B381" s="369" t="s">
        <v>640</v>
      </c>
      <c r="C381" s="370"/>
      <c r="D381" s="370"/>
      <c r="E381" s="177">
        <v>1177.45</v>
      </c>
      <c r="F381" s="177">
        <v>99674.02</v>
      </c>
      <c r="G381" s="25"/>
      <c r="H381" s="177">
        <v>99741.7</v>
      </c>
      <c r="I381" s="25"/>
      <c r="J381" s="177">
        <v>1109.77</v>
      </c>
      <c r="K381" s="25">
        <f t="shared" si="5"/>
        <v>-67.680000000000064</v>
      </c>
    </row>
    <row r="382" spans="1:11" ht="15.95" customHeight="1" x14ac:dyDescent="0.2">
      <c r="A382" s="156" t="s">
        <v>641</v>
      </c>
      <c r="B382" s="369" t="s">
        <v>642</v>
      </c>
      <c r="C382" s="370"/>
      <c r="D382" s="370"/>
      <c r="E382" s="177">
        <v>-127968.92</v>
      </c>
      <c r="F382" s="177">
        <v>1037798.43</v>
      </c>
      <c r="G382" s="25"/>
      <c r="H382" s="177">
        <v>1012355.95</v>
      </c>
      <c r="I382" s="25"/>
      <c r="J382" s="177">
        <v>-102526.44</v>
      </c>
      <c r="K382" s="25">
        <f t="shared" si="5"/>
        <v>25442.479999999996</v>
      </c>
    </row>
    <row r="383" spans="1:11" ht="15.95" customHeight="1" x14ac:dyDescent="0.2">
      <c r="A383" s="156" t="s">
        <v>643</v>
      </c>
      <c r="B383" s="369" t="s">
        <v>644</v>
      </c>
      <c r="C383" s="370"/>
      <c r="D383" s="370"/>
      <c r="E383" s="177">
        <v>-16941.09</v>
      </c>
      <c r="F383" s="177">
        <v>276926.14</v>
      </c>
      <c r="G383" s="25"/>
      <c r="H383" s="177">
        <v>286260.81</v>
      </c>
      <c r="I383" s="25"/>
      <c r="J383" s="177">
        <v>-26275.759999999998</v>
      </c>
      <c r="K383" s="25">
        <f t="shared" si="5"/>
        <v>-9334.6699999999983</v>
      </c>
    </row>
    <row r="384" spans="1:11" ht="15.95" customHeight="1" x14ac:dyDescent="0.2">
      <c r="A384" s="156" t="s">
        <v>645</v>
      </c>
      <c r="B384" s="369" t="s">
        <v>646</v>
      </c>
      <c r="C384" s="370"/>
      <c r="D384" s="370"/>
      <c r="E384" s="177">
        <v>-164602.38</v>
      </c>
      <c r="F384" s="177">
        <v>1141227.47</v>
      </c>
      <c r="G384" s="25"/>
      <c r="H384" s="177">
        <v>1173417.58</v>
      </c>
      <c r="I384" s="25"/>
      <c r="J384" s="177">
        <v>-196792.49</v>
      </c>
      <c r="K384" s="25">
        <f t="shared" si="5"/>
        <v>-32190.109999999986</v>
      </c>
    </row>
    <row r="385" spans="1:11" ht="15.95" customHeight="1" x14ac:dyDescent="0.2">
      <c r="A385" s="156" t="s">
        <v>647</v>
      </c>
      <c r="B385" s="369" t="s">
        <v>648</v>
      </c>
      <c r="C385" s="370"/>
      <c r="D385" s="370"/>
      <c r="E385" s="177">
        <v>-30568.12</v>
      </c>
      <c r="F385" s="177">
        <v>589504.48</v>
      </c>
      <c r="G385" s="25"/>
      <c r="H385" s="177">
        <v>617088.82999999996</v>
      </c>
      <c r="I385" s="25"/>
      <c r="J385" s="177">
        <v>-58152.47</v>
      </c>
      <c r="K385" s="25">
        <f t="shared" si="5"/>
        <v>-27584.350000000002</v>
      </c>
    </row>
    <row r="386" spans="1:11" ht="15.95" customHeight="1" x14ac:dyDescent="0.2">
      <c r="A386" s="156" t="s">
        <v>649</v>
      </c>
      <c r="B386" s="369" t="s">
        <v>650</v>
      </c>
      <c r="C386" s="370"/>
      <c r="D386" s="370"/>
      <c r="E386" s="177">
        <v>-83470.55</v>
      </c>
      <c r="F386" s="177">
        <v>83470.55</v>
      </c>
      <c r="G386" s="25"/>
      <c r="H386" s="177">
        <v>0</v>
      </c>
      <c r="I386" s="25"/>
      <c r="J386" s="177">
        <v>0</v>
      </c>
      <c r="K386" s="25">
        <f t="shared" si="5"/>
        <v>83470.55</v>
      </c>
    </row>
    <row r="387" spans="1:11" ht="15.95" customHeight="1" x14ac:dyDescent="0.2">
      <c r="A387" s="156" t="s">
        <v>651</v>
      </c>
      <c r="B387" s="369" t="s">
        <v>652</v>
      </c>
      <c r="C387" s="370"/>
      <c r="D387" s="370"/>
      <c r="E387" s="177">
        <v>-55924.74</v>
      </c>
      <c r="F387" s="177">
        <v>41943.51</v>
      </c>
      <c r="G387" s="25"/>
      <c r="H387" s="177">
        <v>55924.62</v>
      </c>
      <c r="I387" s="25"/>
      <c r="J387" s="177">
        <v>-69905.850000000006</v>
      </c>
      <c r="K387" s="25">
        <f t="shared" si="5"/>
        <v>-13981.110000000008</v>
      </c>
    </row>
    <row r="388" spans="1:11" ht="15.95" customHeight="1" x14ac:dyDescent="0.2">
      <c r="A388" s="156" t="s">
        <v>653</v>
      </c>
      <c r="B388" s="369" t="s">
        <v>654</v>
      </c>
      <c r="C388" s="370"/>
      <c r="D388" s="370"/>
      <c r="E388" s="177">
        <v>0</v>
      </c>
      <c r="F388" s="177">
        <v>958504.14</v>
      </c>
      <c r="G388" s="25"/>
      <c r="H388" s="177">
        <v>2543868.2400000002</v>
      </c>
      <c r="I388" s="25"/>
      <c r="J388" s="177">
        <v>-1585364.1</v>
      </c>
      <c r="K388" s="25">
        <f t="shared" ref="K388:K451" si="6">J388-E388</f>
        <v>-1585364.1</v>
      </c>
    </row>
    <row r="389" spans="1:11" ht="15.95" customHeight="1" x14ac:dyDescent="0.2">
      <c r="A389" s="158">
        <v>215</v>
      </c>
      <c r="B389" s="371" t="s">
        <v>655</v>
      </c>
      <c r="C389" s="372"/>
      <c r="D389" s="372"/>
      <c r="E389" s="178">
        <v>-411431.06</v>
      </c>
      <c r="F389" s="178">
        <v>2522559.5699999998</v>
      </c>
      <c r="G389" s="31"/>
      <c r="H389" s="178">
        <v>2337114.61</v>
      </c>
      <c r="I389" s="31"/>
      <c r="J389" s="178">
        <v>-225986.1</v>
      </c>
      <c r="K389" s="31">
        <f t="shared" si="6"/>
        <v>185444.96</v>
      </c>
    </row>
    <row r="390" spans="1:11" ht="15.95" customHeight="1" x14ac:dyDescent="0.2">
      <c r="A390" s="156">
        <v>21501</v>
      </c>
      <c r="B390" s="369" t="s">
        <v>655</v>
      </c>
      <c r="C390" s="370"/>
      <c r="D390" s="370"/>
      <c r="E390" s="177">
        <v>-411431.06</v>
      </c>
      <c r="F390" s="177">
        <v>2522559.5699999998</v>
      </c>
      <c r="G390" s="25"/>
      <c r="H390" s="177">
        <v>2337114.61</v>
      </c>
      <c r="I390" s="25"/>
      <c r="J390" s="177">
        <v>-225986.1</v>
      </c>
      <c r="K390" s="25">
        <f t="shared" si="6"/>
        <v>185444.96</v>
      </c>
    </row>
    <row r="391" spans="1:11" ht="15.95" customHeight="1" x14ac:dyDescent="0.2">
      <c r="A391" s="156">
        <v>2150101</v>
      </c>
      <c r="B391" s="369" t="s">
        <v>656</v>
      </c>
      <c r="C391" s="370"/>
      <c r="D391" s="370"/>
      <c r="E391" s="177">
        <v>-365525.38</v>
      </c>
      <c r="F391" s="177">
        <v>2114118.84</v>
      </c>
      <c r="G391" s="25"/>
      <c r="H391" s="177">
        <v>1940808.45</v>
      </c>
      <c r="I391" s="25"/>
      <c r="J391" s="177">
        <v>-192214.99</v>
      </c>
      <c r="K391" s="25">
        <f t="shared" si="6"/>
        <v>173310.39</v>
      </c>
    </row>
    <row r="392" spans="1:11" ht="15.95" customHeight="1" x14ac:dyDescent="0.2">
      <c r="A392" s="156" t="s">
        <v>657</v>
      </c>
      <c r="B392" s="369" t="s">
        <v>658</v>
      </c>
      <c r="C392" s="370"/>
      <c r="D392" s="370"/>
      <c r="E392" s="177">
        <v>-120</v>
      </c>
      <c r="F392" s="177">
        <v>1080</v>
      </c>
      <c r="G392" s="25"/>
      <c r="H392" s="177">
        <v>1080</v>
      </c>
      <c r="I392" s="25"/>
      <c r="J392" s="177">
        <v>-120</v>
      </c>
      <c r="K392" s="25">
        <f t="shared" si="6"/>
        <v>0</v>
      </c>
    </row>
    <row r="393" spans="1:11" ht="15.95" customHeight="1" x14ac:dyDescent="0.2">
      <c r="A393" s="156" t="s">
        <v>659</v>
      </c>
      <c r="B393" s="369" t="s">
        <v>660</v>
      </c>
      <c r="C393" s="370"/>
      <c r="D393" s="370"/>
      <c r="E393" s="177">
        <v>-322505.40000000002</v>
      </c>
      <c r="F393" s="177">
        <v>1707405.34</v>
      </c>
      <c r="G393" s="25"/>
      <c r="H393" s="177">
        <v>1536909.55</v>
      </c>
      <c r="I393" s="25"/>
      <c r="J393" s="177">
        <v>-152009.60999999999</v>
      </c>
      <c r="K393" s="25">
        <f t="shared" si="6"/>
        <v>170495.79000000004</v>
      </c>
    </row>
    <row r="394" spans="1:11" ht="15.95" customHeight="1" x14ac:dyDescent="0.2">
      <c r="A394" s="156" t="s">
        <v>661</v>
      </c>
      <c r="B394" s="369" t="s">
        <v>662</v>
      </c>
      <c r="C394" s="370"/>
      <c r="D394" s="370"/>
      <c r="E394" s="177">
        <v>-1565.87</v>
      </c>
      <c r="F394" s="177">
        <v>12619.12</v>
      </c>
      <c r="G394" s="25"/>
      <c r="H394" s="177">
        <v>14023.53</v>
      </c>
      <c r="I394" s="25"/>
      <c r="J394" s="177">
        <v>-2970.28</v>
      </c>
      <c r="K394" s="25">
        <f t="shared" si="6"/>
        <v>-1404.4100000000003</v>
      </c>
    </row>
    <row r="395" spans="1:11" ht="15.95" customHeight="1" x14ac:dyDescent="0.2">
      <c r="A395" s="156" t="s">
        <v>663</v>
      </c>
      <c r="B395" s="369" t="s">
        <v>664</v>
      </c>
      <c r="C395" s="370"/>
      <c r="D395" s="370"/>
      <c r="E395" s="177">
        <v>-557.61</v>
      </c>
      <c r="F395" s="177">
        <v>4914.08</v>
      </c>
      <c r="G395" s="25"/>
      <c r="H395" s="177">
        <v>4864.42</v>
      </c>
      <c r="I395" s="25"/>
      <c r="J395" s="177">
        <v>-507.95</v>
      </c>
      <c r="K395" s="25">
        <f t="shared" si="6"/>
        <v>49.660000000000025</v>
      </c>
    </row>
    <row r="396" spans="1:11" ht="15.95" customHeight="1" x14ac:dyDescent="0.2">
      <c r="A396" s="156" t="s">
        <v>665</v>
      </c>
      <c r="B396" s="369" t="s">
        <v>666</v>
      </c>
      <c r="C396" s="370"/>
      <c r="D396" s="370"/>
      <c r="E396" s="177">
        <v>-460.54</v>
      </c>
      <c r="F396" s="177">
        <v>4073.55</v>
      </c>
      <c r="G396" s="25"/>
      <c r="H396" s="177">
        <v>4022.13</v>
      </c>
      <c r="I396" s="25"/>
      <c r="J396" s="177">
        <v>-409.12</v>
      </c>
      <c r="K396" s="25">
        <f t="shared" si="6"/>
        <v>51.420000000000016</v>
      </c>
    </row>
    <row r="397" spans="1:11" ht="15.95" customHeight="1" x14ac:dyDescent="0.2">
      <c r="A397" s="156" t="s">
        <v>667</v>
      </c>
      <c r="B397" s="369" t="s">
        <v>668</v>
      </c>
      <c r="C397" s="370"/>
      <c r="D397" s="370"/>
      <c r="E397" s="177">
        <v>-2109.36</v>
      </c>
      <c r="F397" s="177">
        <v>31905.919999999998</v>
      </c>
      <c r="G397" s="25"/>
      <c r="H397" s="177">
        <v>31593.72</v>
      </c>
      <c r="I397" s="25"/>
      <c r="J397" s="177">
        <v>-1797.16</v>
      </c>
      <c r="K397" s="25">
        <f t="shared" si="6"/>
        <v>312.20000000000005</v>
      </c>
    </row>
    <row r="398" spans="1:11" ht="15.95" customHeight="1" x14ac:dyDescent="0.2">
      <c r="A398" s="156" t="s">
        <v>669</v>
      </c>
      <c r="B398" s="369" t="s">
        <v>670</v>
      </c>
      <c r="C398" s="370"/>
      <c r="D398" s="370"/>
      <c r="E398" s="177">
        <v>-30614.27</v>
      </c>
      <c r="F398" s="177">
        <v>288146.09999999998</v>
      </c>
      <c r="G398" s="25"/>
      <c r="H398" s="177">
        <v>286345.78999999998</v>
      </c>
      <c r="I398" s="25"/>
      <c r="J398" s="177">
        <v>-28813.96</v>
      </c>
      <c r="K398" s="25">
        <f t="shared" si="6"/>
        <v>1800.3100000000013</v>
      </c>
    </row>
    <row r="399" spans="1:11" ht="15.95" customHeight="1" x14ac:dyDescent="0.2">
      <c r="A399" s="156" t="s">
        <v>671</v>
      </c>
      <c r="B399" s="369" t="s">
        <v>672</v>
      </c>
      <c r="C399" s="370"/>
      <c r="D399" s="370"/>
      <c r="E399" s="177">
        <v>-6945.13</v>
      </c>
      <c r="F399" s="177">
        <v>55860.09</v>
      </c>
      <c r="G399" s="25"/>
      <c r="H399" s="177">
        <v>53026.54</v>
      </c>
      <c r="I399" s="25"/>
      <c r="J399" s="177">
        <v>-4111.58</v>
      </c>
      <c r="K399" s="25">
        <f t="shared" si="6"/>
        <v>2833.55</v>
      </c>
    </row>
    <row r="400" spans="1:11" ht="15.95" customHeight="1" x14ac:dyDescent="0.2">
      <c r="A400" s="156" t="s">
        <v>673</v>
      </c>
      <c r="B400" s="369" t="s">
        <v>674</v>
      </c>
      <c r="C400" s="370"/>
      <c r="D400" s="370"/>
      <c r="E400" s="177">
        <v>-600</v>
      </c>
      <c r="F400" s="177">
        <v>0</v>
      </c>
      <c r="G400" s="25"/>
      <c r="H400" s="177">
        <v>0</v>
      </c>
      <c r="I400" s="25"/>
      <c r="J400" s="177">
        <v>-600</v>
      </c>
      <c r="K400" s="25">
        <f t="shared" si="6"/>
        <v>0</v>
      </c>
    </row>
    <row r="401" spans="1:11" ht="15.95" customHeight="1" x14ac:dyDescent="0.2">
      <c r="A401" s="156" t="s">
        <v>675</v>
      </c>
      <c r="B401" s="369" t="s">
        <v>676</v>
      </c>
      <c r="C401" s="370"/>
      <c r="D401" s="370"/>
      <c r="E401" s="177">
        <v>-47.2</v>
      </c>
      <c r="F401" s="177">
        <v>424.8</v>
      </c>
      <c r="G401" s="25"/>
      <c r="H401" s="177">
        <v>424.8</v>
      </c>
      <c r="I401" s="25"/>
      <c r="J401" s="177">
        <v>-47.2</v>
      </c>
      <c r="K401" s="25">
        <f t="shared" si="6"/>
        <v>0</v>
      </c>
    </row>
    <row r="402" spans="1:11" ht="15.95" customHeight="1" x14ac:dyDescent="0.2">
      <c r="A402" s="156" t="s">
        <v>677</v>
      </c>
      <c r="B402" s="369" t="s">
        <v>678</v>
      </c>
      <c r="C402" s="370"/>
      <c r="D402" s="370"/>
      <c r="E402" s="177">
        <v>0</v>
      </c>
      <c r="F402" s="177">
        <v>7689.84</v>
      </c>
      <c r="G402" s="25"/>
      <c r="H402" s="177">
        <v>8517.9699999999993</v>
      </c>
      <c r="I402" s="25"/>
      <c r="J402" s="177">
        <v>-828.13</v>
      </c>
      <c r="K402" s="25">
        <f t="shared" si="6"/>
        <v>-828.13</v>
      </c>
    </row>
    <row r="403" spans="1:11" ht="15.95" customHeight="1" x14ac:dyDescent="0.2">
      <c r="A403" s="156">
        <v>2150102</v>
      </c>
      <c r="B403" s="369" t="s">
        <v>679</v>
      </c>
      <c r="C403" s="370"/>
      <c r="D403" s="370"/>
      <c r="E403" s="177">
        <v>-45905.68</v>
      </c>
      <c r="F403" s="177">
        <v>408440.73</v>
      </c>
      <c r="G403" s="25"/>
      <c r="H403" s="177">
        <v>396306.16</v>
      </c>
      <c r="I403" s="25"/>
      <c r="J403" s="177">
        <v>-33771.11</v>
      </c>
      <c r="K403" s="25">
        <f t="shared" si="6"/>
        <v>12134.57</v>
      </c>
    </row>
    <row r="404" spans="1:11" ht="15.95" customHeight="1" x14ac:dyDescent="0.2">
      <c r="A404" s="156" t="s">
        <v>680</v>
      </c>
      <c r="B404" s="369" t="s">
        <v>681</v>
      </c>
      <c r="C404" s="370"/>
      <c r="D404" s="370"/>
      <c r="E404" s="177">
        <v>-34227.58</v>
      </c>
      <c r="F404" s="177">
        <v>300473.56</v>
      </c>
      <c r="G404" s="25"/>
      <c r="H404" s="177">
        <v>291006.95</v>
      </c>
      <c r="I404" s="25"/>
      <c r="J404" s="177">
        <v>-24760.97</v>
      </c>
      <c r="K404" s="25">
        <f t="shared" si="6"/>
        <v>9466.61</v>
      </c>
    </row>
    <row r="405" spans="1:11" ht="15.95" customHeight="1" x14ac:dyDescent="0.2">
      <c r="A405" s="156" t="s">
        <v>682</v>
      </c>
      <c r="B405" s="369" t="s">
        <v>683</v>
      </c>
      <c r="C405" s="370"/>
      <c r="D405" s="370"/>
      <c r="E405" s="177">
        <v>-8514</v>
      </c>
      <c r="F405" s="177">
        <v>79490.27</v>
      </c>
      <c r="G405" s="25"/>
      <c r="H405" s="177">
        <v>77544.27</v>
      </c>
      <c r="I405" s="25"/>
      <c r="J405" s="177">
        <v>-6568</v>
      </c>
      <c r="K405" s="25">
        <f t="shared" si="6"/>
        <v>1946</v>
      </c>
    </row>
    <row r="406" spans="1:11" ht="15.95" customHeight="1" x14ac:dyDescent="0.2">
      <c r="A406" s="156" t="s">
        <v>684</v>
      </c>
      <c r="B406" s="369" t="s">
        <v>685</v>
      </c>
      <c r="C406" s="370"/>
      <c r="D406" s="370"/>
      <c r="E406" s="177">
        <v>-3164.1</v>
      </c>
      <c r="F406" s="177">
        <v>28476.9</v>
      </c>
      <c r="G406" s="25"/>
      <c r="H406" s="177">
        <v>27754.94</v>
      </c>
      <c r="I406" s="25"/>
      <c r="J406" s="177">
        <v>-2442.14</v>
      </c>
      <c r="K406" s="25">
        <f t="shared" si="6"/>
        <v>721.96</v>
      </c>
    </row>
    <row r="407" spans="1:11" ht="15.95" customHeight="1" x14ac:dyDescent="0.2">
      <c r="A407" s="158">
        <v>217</v>
      </c>
      <c r="B407" s="371" t="s">
        <v>686</v>
      </c>
      <c r="C407" s="372"/>
      <c r="D407" s="372"/>
      <c r="E407" s="178">
        <v>-4939099.24</v>
      </c>
      <c r="F407" s="178">
        <v>1705594.75</v>
      </c>
      <c r="G407" s="31"/>
      <c r="H407" s="178">
        <v>1747985.24</v>
      </c>
      <c r="I407" s="31"/>
      <c r="J407" s="178">
        <v>-4981489.7300000004</v>
      </c>
      <c r="K407" s="31">
        <f t="shared" si="6"/>
        <v>-42390.490000000224</v>
      </c>
    </row>
    <row r="408" spans="1:11" ht="15.95" customHeight="1" x14ac:dyDescent="0.2">
      <c r="A408" s="156">
        <v>21701</v>
      </c>
      <c r="B408" s="369" t="s">
        <v>686</v>
      </c>
      <c r="C408" s="370"/>
      <c r="D408" s="370"/>
      <c r="E408" s="177">
        <v>-4939099.24</v>
      </c>
      <c r="F408" s="177">
        <v>1705594.75</v>
      </c>
      <c r="G408" s="25"/>
      <c r="H408" s="177">
        <v>1747985.24</v>
      </c>
      <c r="I408" s="25"/>
      <c r="J408" s="177">
        <v>-4981489.7300000004</v>
      </c>
      <c r="K408" s="25">
        <f t="shared" si="6"/>
        <v>-42390.490000000224</v>
      </c>
    </row>
    <row r="409" spans="1:11" ht="15.95" customHeight="1" x14ac:dyDescent="0.2">
      <c r="A409" s="156">
        <v>2170101</v>
      </c>
      <c r="B409" s="369" t="s">
        <v>687</v>
      </c>
      <c r="C409" s="370"/>
      <c r="D409" s="370"/>
      <c r="E409" s="177">
        <v>-23810.44</v>
      </c>
      <c r="F409" s="177">
        <v>0</v>
      </c>
      <c r="G409" s="25"/>
      <c r="H409" s="177">
        <v>173890.3</v>
      </c>
      <c r="I409" s="25"/>
      <c r="J409" s="177">
        <v>-197700.74</v>
      </c>
      <c r="K409" s="25">
        <f t="shared" si="6"/>
        <v>-173890.3</v>
      </c>
    </row>
    <row r="410" spans="1:11" ht="15.95" customHeight="1" x14ac:dyDescent="0.2">
      <c r="A410" s="156" t="s">
        <v>688</v>
      </c>
      <c r="B410" s="369" t="s">
        <v>689</v>
      </c>
      <c r="C410" s="370"/>
      <c r="D410" s="370"/>
      <c r="E410" s="177">
        <v>-6700</v>
      </c>
      <c r="F410" s="177">
        <v>0</v>
      </c>
      <c r="G410" s="25"/>
      <c r="H410" s="177">
        <v>0</v>
      </c>
      <c r="I410" s="25"/>
      <c r="J410" s="177">
        <v>-6700</v>
      </c>
      <c r="K410" s="25">
        <f t="shared" si="6"/>
        <v>0</v>
      </c>
    </row>
    <row r="411" spans="1:11" ht="15.95" customHeight="1" x14ac:dyDescent="0.2">
      <c r="A411" s="156" t="s">
        <v>690</v>
      </c>
      <c r="B411" s="369" t="s">
        <v>691</v>
      </c>
      <c r="C411" s="370"/>
      <c r="D411" s="370"/>
      <c r="E411" s="177">
        <v>-3115</v>
      </c>
      <c r="F411" s="177">
        <v>0</v>
      </c>
      <c r="G411" s="25"/>
      <c r="H411" s="177">
        <v>0</v>
      </c>
      <c r="I411" s="25"/>
      <c r="J411" s="177">
        <v>-3115</v>
      </c>
      <c r="K411" s="25">
        <f t="shared" si="6"/>
        <v>0</v>
      </c>
    </row>
    <row r="412" spans="1:11" ht="15.95" customHeight="1" x14ac:dyDescent="0.2">
      <c r="A412" s="156" t="s">
        <v>692</v>
      </c>
      <c r="B412" s="369" t="s">
        <v>693</v>
      </c>
      <c r="C412" s="370"/>
      <c r="D412" s="370"/>
      <c r="E412" s="177">
        <v>-2856</v>
      </c>
      <c r="F412" s="177">
        <v>0</v>
      </c>
      <c r="G412" s="25"/>
      <c r="H412" s="177">
        <v>0</v>
      </c>
      <c r="I412" s="25"/>
      <c r="J412" s="177">
        <v>-2856</v>
      </c>
      <c r="K412" s="25">
        <f t="shared" si="6"/>
        <v>0</v>
      </c>
    </row>
    <row r="413" spans="1:11" ht="15.95" customHeight="1" x14ac:dyDescent="0.2">
      <c r="A413" s="156" t="s">
        <v>694</v>
      </c>
      <c r="B413" s="369" t="s">
        <v>695</v>
      </c>
      <c r="C413" s="370"/>
      <c r="D413" s="370"/>
      <c r="E413" s="177">
        <v>-2000</v>
      </c>
      <c r="F413" s="177">
        <v>0</v>
      </c>
      <c r="G413" s="25"/>
      <c r="H413" s="177">
        <v>0</v>
      </c>
      <c r="I413" s="25"/>
      <c r="J413" s="177">
        <v>-2000</v>
      </c>
      <c r="K413" s="25">
        <f t="shared" si="6"/>
        <v>0</v>
      </c>
    </row>
    <row r="414" spans="1:11" ht="15.95" customHeight="1" x14ac:dyDescent="0.2">
      <c r="A414" s="156" t="s">
        <v>696</v>
      </c>
      <c r="B414" s="369" t="s">
        <v>697</v>
      </c>
      <c r="C414" s="370"/>
      <c r="D414" s="370"/>
      <c r="E414" s="177">
        <v>-5899.2</v>
      </c>
      <c r="F414" s="177">
        <v>0</v>
      </c>
      <c r="G414" s="25"/>
      <c r="H414" s="177">
        <v>0</v>
      </c>
      <c r="I414" s="25"/>
      <c r="J414" s="177">
        <v>-5899.2</v>
      </c>
      <c r="K414" s="25">
        <f t="shared" si="6"/>
        <v>0</v>
      </c>
    </row>
    <row r="415" spans="1:11" ht="15.95" customHeight="1" x14ac:dyDescent="0.2">
      <c r="A415" s="156" t="s">
        <v>698</v>
      </c>
      <c r="B415" s="369" t="s">
        <v>699</v>
      </c>
      <c r="C415" s="370"/>
      <c r="D415" s="370"/>
      <c r="E415" s="177">
        <v>-840.24</v>
      </c>
      <c r="F415" s="177">
        <v>0</v>
      </c>
      <c r="G415" s="25"/>
      <c r="H415" s="177">
        <v>0</v>
      </c>
      <c r="I415" s="25"/>
      <c r="J415" s="177">
        <v>-840.24</v>
      </c>
      <c r="K415" s="25">
        <f t="shared" si="6"/>
        <v>0</v>
      </c>
    </row>
    <row r="416" spans="1:11" ht="15.95" customHeight="1" x14ac:dyDescent="0.2">
      <c r="A416" s="156" t="s">
        <v>700</v>
      </c>
      <c r="B416" s="369" t="s">
        <v>701</v>
      </c>
      <c r="C416" s="370"/>
      <c r="D416" s="370"/>
      <c r="E416" s="177">
        <v>-2400</v>
      </c>
      <c r="F416" s="177">
        <v>0</v>
      </c>
      <c r="G416" s="25"/>
      <c r="H416" s="177">
        <v>0</v>
      </c>
      <c r="I416" s="25"/>
      <c r="J416" s="177">
        <v>-2400</v>
      </c>
      <c r="K416" s="25">
        <f t="shared" si="6"/>
        <v>0</v>
      </c>
    </row>
    <row r="417" spans="1:11" ht="15.95" customHeight="1" x14ac:dyDescent="0.2">
      <c r="A417" s="156" t="s">
        <v>702</v>
      </c>
      <c r="B417" s="369" t="s">
        <v>703</v>
      </c>
      <c r="C417" s="370"/>
      <c r="D417" s="370"/>
      <c r="E417" s="177">
        <v>0</v>
      </c>
      <c r="F417" s="177">
        <v>0</v>
      </c>
      <c r="G417" s="25"/>
      <c r="H417" s="177">
        <v>174.5</v>
      </c>
      <c r="I417" s="25"/>
      <c r="J417" s="177">
        <v>-174.5</v>
      </c>
      <c r="K417" s="25">
        <f t="shared" si="6"/>
        <v>-174.5</v>
      </c>
    </row>
    <row r="418" spans="1:11" ht="15.95" customHeight="1" x14ac:dyDescent="0.2">
      <c r="A418" s="156" t="s">
        <v>704</v>
      </c>
      <c r="B418" s="369" t="s">
        <v>705</v>
      </c>
      <c r="C418" s="370"/>
      <c r="D418" s="370"/>
      <c r="E418" s="177">
        <v>0</v>
      </c>
      <c r="F418" s="177">
        <v>0</v>
      </c>
      <c r="G418" s="25"/>
      <c r="H418" s="177">
        <v>2215</v>
      </c>
      <c r="I418" s="25"/>
      <c r="J418" s="177">
        <v>-2215</v>
      </c>
      <c r="K418" s="25">
        <f t="shared" si="6"/>
        <v>-2215</v>
      </c>
    </row>
    <row r="419" spans="1:11" ht="15.95" customHeight="1" x14ac:dyDescent="0.2">
      <c r="A419" s="156" t="s">
        <v>706</v>
      </c>
      <c r="B419" s="369" t="s">
        <v>707</v>
      </c>
      <c r="C419" s="370"/>
      <c r="D419" s="370"/>
      <c r="E419" s="177">
        <v>0</v>
      </c>
      <c r="F419" s="177">
        <v>0</v>
      </c>
      <c r="G419" s="25"/>
      <c r="H419" s="177">
        <v>1330.8</v>
      </c>
      <c r="I419" s="25"/>
      <c r="J419" s="177">
        <v>-1330.8</v>
      </c>
      <c r="K419" s="25">
        <f t="shared" si="6"/>
        <v>-1330.8</v>
      </c>
    </row>
    <row r="420" spans="1:11" ht="15.95" customHeight="1" x14ac:dyDescent="0.2">
      <c r="A420" s="156" t="s">
        <v>708</v>
      </c>
      <c r="B420" s="369" t="s">
        <v>709</v>
      </c>
      <c r="C420" s="370"/>
      <c r="D420" s="370"/>
      <c r="E420" s="177">
        <v>0</v>
      </c>
      <c r="F420" s="177">
        <v>0</v>
      </c>
      <c r="G420" s="25"/>
      <c r="H420" s="177">
        <v>170170</v>
      </c>
      <c r="I420" s="25"/>
      <c r="J420" s="177">
        <v>-170170</v>
      </c>
      <c r="K420" s="25">
        <f t="shared" si="6"/>
        <v>-170170</v>
      </c>
    </row>
    <row r="421" spans="1:11" ht="15.95" customHeight="1" x14ac:dyDescent="0.2">
      <c r="A421" s="156">
        <v>2170102</v>
      </c>
      <c r="B421" s="369" t="s">
        <v>710</v>
      </c>
      <c r="C421" s="370"/>
      <c r="D421" s="370"/>
      <c r="E421" s="177">
        <v>-2128338.6800000002</v>
      </c>
      <c r="F421" s="177">
        <v>1705594.75</v>
      </c>
      <c r="G421" s="25"/>
      <c r="H421" s="177">
        <v>1284842.48</v>
      </c>
      <c r="I421" s="25"/>
      <c r="J421" s="177">
        <v>-1707586.41</v>
      </c>
      <c r="K421" s="25">
        <f t="shared" si="6"/>
        <v>420752.27000000025</v>
      </c>
    </row>
    <row r="422" spans="1:11" ht="15.95" customHeight="1" x14ac:dyDescent="0.2">
      <c r="A422" s="156" t="s">
        <v>711</v>
      </c>
      <c r="B422" s="369" t="s">
        <v>712</v>
      </c>
      <c r="C422" s="370"/>
      <c r="D422" s="370"/>
      <c r="E422" s="177">
        <v>-482690.42</v>
      </c>
      <c r="F422" s="177">
        <v>0</v>
      </c>
      <c r="G422" s="25"/>
      <c r="H422" s="177">
        <v>0</v>
      </c>
      <c r="I422" s="25"/>
      <c r="J422" s="177">
        <v>-482690.42</v>
      </c>
      <c r="K422" s="25">
        <f t="shared" si="6"/>
        <v>0</v>
      </c>
    </row>
    <row r="423" spans="1:11" ht="15.95" customHeight="1" x14ac:dyDescent="0.2">
      <c r="A423" s="156" t="s">
        <v>713</v>
      </c>
      <c r="B423" s="369" t="s">
        <v>714</v>
      </c>
      <c r="C423" s="370"/>
      <c r="D423" s="370"/>
      <c r="E423" s="177">
        <v>-34.72</v>
      </c>
      <c r="F423" s="177">
        <v>0</v>
      </c>
      <c r="G423" s="25"/>
      <c r="H423" s="177">
        <v>0</v>
      </c>
      <c r="I423" s="25"/>
      <c r="J423" s="177">
        <v>-34.72</v>
      </c>
      <c r="K423" s="25">
        <f t="shared" si="6"/>
        <v>0</v>
      </c>
    </row>
    <row r="424" spans="1:11" ht="15.95" customHeight="1" x14ac:dyDescent="0.2">
      <c r="A424" s="156" t="s">
        <v>715</v>
      </c>
      <c r="B424" s="369" t="s">
        <v>716</v>
      </c>
      <c r="C424" s="370"/>
      <c r="D424" s="370"/>
      <c r="E424" s="177">
        <v>-11718.89</v>
      </c>
      <c r="F424" s="177">
        <v>10970.98</v>
      </c>
      <c r="G424" s="25"/>
      <c r="H424" s="177">
        <v>1.94</v>
      </c>
      <c r="I424" s="25"/>
      <c r="J424" s="177">
        <v>-749.85</v>
      </c>
      <c r="K424" s="25">
        <f t="shared" si="6"/>
        <v>10969.039999999999</v>
      </c>
    </row>
    <row r="425" spans="1:11" ht="15.95" customHeight="1" x14ac:dyDescent="0.2">
      <c r="A425" s="156" t="s">
        <v>717</v>
      </c>
      <c r="B425" s="369" t="s">
        <v>718</v>
      </c>
      <c r="C425" s="370"/>
      <c r="D425" s="370"/>
      <c r="E425" s="177">
        <v>-229.87</v>
      </c>
      <c r="F425" s="177">
        <v>0</v>
      </c>
      <c r="G425" s="25"/>
      <c r="H425" s="177">
        <v>0</v>
      </c>
      <c r="I425" s="25"/>
      <c r="J425" s="177">
        <v>-229.87</v>
      </c>
      <c r="K425" s="25">
        <f t="shared" si="6"/>
        <v>0</v>
      </c>
    </row>
    <row r="426" spans="1:11" ht="15.95" customHeight="1" x14ac:dyDescent="0.2">
      <c r="A426" s="156" t="s">
        <v>719</v>
      </c>
      <c r="B426" s="369" t="s">
        <v>720</v>
      </c>
      <c r="C426" s="370"/>
      <c r="D426" s="370"/>
      <c r="E426" s="177">
        <v>-3084.5</v>
      </c>
      <c r="F426" s="177">
        <v>0</v>
      </c>
      <c r="G426" s="25"/>
      <c r="H426" s="177">
        <v>0</v>
      </c>
      <c r="I426" s="25"/>
      <c r="J426" s="177">
        <v>-3084.5</v>
      </c>
      <c r="K426" s="25">
        <f t="shared" si="6"/>
        <v>0</v>
      </c>
    </row>
    <row r="427" spans="1:11" ht="15.95" customHeight="1" x14ac:dyDescent="0.2">
      <c r="A427" s="156" t="s">
        <v>721</v>
      </c>
      <c r="B427" s="369" t="s">
        <v>722</v>
      </c>
      <c r="C427" s="370"/>
      <c r="D427" s="370"/>
      <c r="E427" s="177">
        <v>-105.52</v>
      </c>
      <c r="F427" s="177">
        <v>0</v>
      </c>
      <c r="G427" s="25"/>
      <c r="H427" s="177">
        <v>0</v>
      </c>
      <c r="I427" s="25"/>
      <c r="J427" s="177">
        <v>-105.52</v>
      </c>
      <c r="K427" s="25">
        <f t="shared" si="6"/>
        <v>0</v>
      </c>
    </row>
    <row r="428" spans="1:11" ht="15.95" customHeight="1" x14ac:dyDescent="0.2">
      <c r="A428" s="156" t="s">
        <v>723</v>
      </c>
      <c r="B428" s="369" t="s">
        <v>724</v>
      </c>
      <c r="C428" s="370"/>
      <c r="D428" s="370"/>
      <c r="E428" s="177">
        <v>0</v>
      </c>
      <c r="F428" s="177">
        <v>297067.96999999997</v>
      </c>
      <c r="G428" s="25"/>
      <c r="H428" s="177">
        <v>297226.71999999997</v>
      </c>
      <c r="I428" s="25"/>
      <c r="J428" s="177">
        <v>-158.75</v>
      </c>
      <c r="K428" s="25">
        <f t="shared" si="6"/>
        <v>-158.75</v>
      </c>
    </row>
    <row r="429" spans="1:11" ht="15.95" customHeight="1" x14ac:dyDescent="0.2">
      <c r="A429" s="156" t="s">
        <v>725</v>
      </c>
      <c r="B429" s="369" t="s">
        <v>726</v>
      </c>
      <c r="C429" s="370"/>
      <c r="D429" s="370"/>
      <c r="E429" s="177">
        <v>-196.05</v>
      </c>
      <c r="F429" s="177">
        <v>0</v>
      </c>
      <c r="G429" s="25"/>
      <c r="H429" s="177">
        <v>0</v>
      </c>
      <c r="I429" s="25"/>
      <c r="J429" s="177">
        <v>-196.05</v>
      </c>
      <c r="K429" s="25">
        <f t="shared" si="6"/>
        <v>0</v>
      </c>
    </row>
    <row r="430" spans="1:11" ht="15.95" customHeight="1" x14ac:dyDescent="0.2">
      <c r="A430" s="156" t="s">
        <v>727</v>
      </c>
      <c r="B430" s="369" t="s">
        <v>728</v>
      </c>
      <c r="C430" s="370"/>
      <c r="D430" s="370"/>
      <c r="E430" s="177">
        <v>-304.98</v>
      </c>
      <c r="F430" s="177">
        <v>0</v>
      </c>
      <c r="G430" s="25"/>
      <c r="H430" s="177">
        <v>0</v>
      </c>
      <c r="I430" s="25"/>
      <c r="J430" s="177">
        <v>-304.98</v>
      </c>
      <c r="K430" s="25">
        <f t="shared" si="6"/>
        <v>0</v>
      </c>
    </row>
    <row r="431" spans="1:11" ht="15.95" customHeight="1" x14ac:dyDescent="0.2">
      <c r="A431" s="156" t="s">
        <v>729</v>
      </c>
      <c r="B431" s="369" t="s">
        <v>730</v>
      </c>
      <c r="C431" s="370"/>
      <c r="D431" s="370"/>
      <c r="E431" s="177">
        <v>-6</v>
      </c>
      <c r="F431" s="177">
        <v>0</v>
      </c>
      <c r="G431" s="25"/>
      <c r="H431" s="177">
        <v>0</v>
      </c>
      <c r="I431" s="25"/>
      <c r="J431" s="177">
        <v>-6</v>
      </c>
      <c r="K431" s="25">
        <f t="shared" si="6"/>
        <v>0</v>
      </c>
    </row>
    <row r="432" spans="1:11" ht="15.95" customHeight="1" x14ac:dyDescent="0.2">
      <c r="A432" s="156" t="s">
        <v>731</v>
      </c>
      <c r="B432" s="369" t="s">
        <v>732</v>
      </c>
      <c r="C432" s="370"/>
      <c r="D432" s="370"/>
      <c r="E432" s="177">
        <v>-912.44</v>
      </c>
      <c r="F432" s="177">
        <v>0</v>
      </c>
      <c r="G432" s="25"/>
      <c r="H432" s="177">
        <v>0</v>
      </c>
      <c r="I432" s="25"/>
      <c r="J432" s="177">
        <v>-912.44</v>
      </c>
      <c r="K432" s="25">
        <f t="shared" si="6"/>
        <v>0</v>
      </c>
    </row>
    <row r="433" spans="1:11" ht="15.95" customHeight="1" x14ac:dyDescent="0.2">
      <c r="A433" s="156" t="s">
        <v>733</v>
      </c>
      <c r="B433" s="369" t="s">
        <v>734</v>
      </c>
      <c r="C433" s="370"/>
      <c r="D433" s="370"/>
      <c r="E433" s="177">
        <v>-692.25</v>
      </c>
      <c r="F433" s="177">
        <v>0</v>
      </c>
      <c r="G433" s="25"/>
      <c r="H433" s="177">
        <v>1823</v>
      </c>
      <c r="I433" s="25"/>
      <c r="J433" s="177">
        <v>-2515.25</v>
      </c>
      <c r="K433" s="25">
        <f t="shared" si="6"/>
        <v>-1823</v>
      </c>
    </row>
    <row r="434" spans="1:11" ht="27.95" customHeight="1" x14ac:dyDescent="0.2">
      <c r="A434" s="156" t="s">
        <v>735</v>
      </c>
      <c r="B434" s="369" t="s">
        <v>736</v>
      </c>
      <c r="C434" s="370"/>
      <c r="D434" s="370"/>
      <c r="E434" s="177">
        <v>-76.84</v>
      </c>
      <c r="F434" s="177">
        <v>0</v>
      </c>
      <c r="G434" s="25"/>
      <c r="H434" s="177">
        <v>0</v>
      </c>
      <c r="I434" s="25"/>
      <c r="J434" s="177">
        <v>-76.84</v>
      </c>
      <c r="K434" s="25">
        <f t="shared" si="6"/>
        <v>0</v>
      </c>
    </row>
    <row r="435" spans="1:11" ht="15.95" customHeight="1" x14ac:dyDescent="0.2">
      <c r="A435" s="156" t="s">
        <v>737</v>
      </c>
      <c r="B435" s="369" t="s">
        <v>738</v>
      </c>
      <c r="C435" s="370"/>
      <c r="D435" s="370"/>
      <c r="E435" s="177">
        <v>-144.33000000000001</v>
      </c>
      <c r="F435" s="177">
        <v>0</v>
      </c>
      <c r="G435" s="25"/>
      <c r="H435" s="177">
        <v>0</v>
      </c>
      <c r="I435" s="25"/>
      <c r="J435" s="177">
        <v>-144.33000000000001</v>
      </c>
      <c r="K435" s="25">
        <f t="shared" si="6"/>
        <v>0</v>
      </c>
    </row>
    <row r="436" spans="1:11" ht="15.95" customHeight="1" x14ac:dyDescent="0.2">
      <c r="A436" s="156" t="s">
        <v>739</v>
      </c>
      <c r="B436" s="369" t="s">
        <v>740</v>
      </c>
      <c r="C436" s="370"/>
      <c r="D436" s="370"/>
      <c r="E436" s="177">
        <v>-175.2</v>
      </c>
      <c r="F436" s="177">
        <v>0</v>
      </c>
      <c r="G436" s="25"/>
      <c r="H436" s="177">
        <v>0</v>
      </c>
      <c r="I436" s="25"/>
      <c r="J436" s="177">
        <v>-175.2</v>
      </c>
      <c r="K436" s="25">
        <f t="shared" si="6"/>
        <v>0</v>
      </c>
    </row>
    <row r="437" spans="1:11" ht="15.95" customHeight="1" x14ac:dyDescent="0.2">
      <c r="A437" s="156" t="s">
        <v>741</v>
      </c>
      <c r="B437" s="369" t="s">
        <v>742</v>
      </c>
      <c r="C437" s="370"/>
      <c r="D437" s="370"/>
      <c r="E437" s="177">
        <v>-436.29</v>
      </c>
      <c r="F437" s="177">
        <v>0</v>
      </c>
      <c r="G437" s="25"/>
      <c r="H437" s="177">
        <v>0</v>
      </c>
      <c r="I437" s="25"/>
      <c r="J437" s="177">
        <v>-436.29</v>
      </c>
      <c r="K437" s="25">
        <f t="shared" si="6"/>
        <v>0</v>
      </c>
    </row>
    <row r="438" spans="1:11" ht="15.95" customHeight="1" x14ac:dyDescent="0.2">
      <c r="A438" s="156" t="s">
        <v>743</v>
      </c>
      <c r="B438" s="369" t="s">
        <v>744</v>
      </c>
      <c r="C438" s="370"/>
      <c r="D438" s="370"/>
      <c r="E438" s="177">
        <v>-67.010000000000005</v>
      </c>
      <c r="F438" s="177">
        <v>0</v>
      </c>
      <c r="G438" s="25"/>
      <c r="H438" s="177">
        <v>0</v>
      </c>
      <c r="I438" s="25"/>
      <c r="J438" s="177">
        <v>-67.010000000000005</v>
      </c>
      <c r="K438" s="25">
        <f t="shared" si="6"/>
        <v>0</v>
      </c>
    </row>
    <row r="439" spans="1:11" ht="15.95" customHeight="1" x14ac:dyDescent="0.2">
      <c r="A439" s="156" t="s">
        <v>745</v>
      </c>
      <c r="B439" s="369" t="s">
        <v>746</v>
      </c>
      <c r="C439" s="370"/>
      <c r="D439" s="370"/>
      <c r="E439" s="177">
        <v>-4644.84</v>
      </c>
      <c r="F439" s="177">
        <v>0</v>
      </c>
      <c r="G439" s="25"/>
      <c r="H439" s="177">
        <v>0</v>
      </c>
      <c r="I439" s="25"/>
      <c r="J439" s="177">
        <v>-4644.84</v>
      </c>
      <c r="K439" s="25">
        <f t="shared" si="6"/>
        <v>0</v>
      </c>
    </row>
    <row r="440" spans="1:11" ht="15.95" customHeight="1" x14ac:dyDescent="0.2">
      <c r="A440" s="156" t="s">
        <v>747</v>
      </c>
      <c r="B440" s="369" t="s">
        <v>748</v>
      </c>
      <c r="C440" s="370"/>
      <c r="D440" s="370"/>
      <c r="E440" s="177">
        <v>-423.16</v>
      </c>
      <c r="F440" s="177">
        <v>0</v>
      </c>
      <c r="G440" s="25"/>
      <c r="H440" s="177">
        <v>0</v>
      </c>
      <c r="I440" s="25"/>
      <c r="J440" s="177">
        <v>-423.16</v>
      </c>
      <c r="K440" s="25">
        <f t="shared" si="6"/>
        <v>0</v>
      </c>
    </row>
    <row r="441" spans="1:11" ht="15.95" customHeight="1" x14ac:dyDescent="0.2">
      <c r="A441" s="156" t="s">
        <v>749</v>
      </c>
      <c r="B441" s="369" t="s">
        <v>750</v>
      </c>
      <c r="C441" s="370"/>
      <c r="D441" s="370"/>
      <c r="E441" s="177">
        <v>-904.46</v>
      </c>
      <c r="F441" s="177">
        <v>0</v>
      </c>
      <c r="G441" s="25"/>
      <c r="H441" s="177">
        <v>0</v>
      </c>
      <c r="I441" s="25"/>
      <c r="J441" s="177">
        <v>-904.46</v>
      </c>
      <c r="K441" s="25">
        <f t="shared" si="6"/>
        <v>0</v>
      </c>
    </row>
    <row r="442" spans="1:11" ht="15.95" customHeight="1" x14ac:dyDescent="0.2">
      <c r="A442" s="156" t="s">
        <v>751</v>
      </c>
      <c r="B442" s="369" t="s">
        <v>752</v>
      </c>
      <c r="C442" s="370"/>
      <c r="D442" s="370"/>
      <c r="E442" s="177">
        <v>-76.56</v>
      </c>
      <c r="F442" s="177">
        <v>0</v>
      </c>
      <c r="G442" s="25"/>
      <c r="H442" s="177">
        <v>0</v>
      </c>
      <c r="I442" s="25"/>
      <c r="J442" s="177">
        <v>-76.56</v>
      </c>
      <c r="K442" s="25">
        <f t="shared" si="6"/>
        <v>0</v>
      </c>
    </row>
    <row r="443" spans="1:11" ht="15.95" customHeight="1" x14ac:dyDescent="0.2">
      <c r="A443" s="156" t="s">
        <v>753</v>
      </c>
      <c r="B443" s="369" t="s">
        <v>754</v>
      </c>
      <c r="C443" s="370"/>
      <c r="D443" s="370"/>
      <c r="E443" s="177">
        <v>-2843.92</v>
      </c>
      <c r="F443" s="177">
        <v>1024.03</v>
      </c>
      <c r="G443" s="25"/>
      <c r="H443" s="177">
        <v>1024.03</v>
      </c>
      <c r="I443" s="25"/>
      <c r="J443" s="177">
        <v>-2843.92</v>
      </c>
      <c r="K443" s="25">
        <f t="shared" si="6"/>
        <v>0</v>
      </c>
    </row>
    <row r="444" spans="1:11" ht="15.95" customHeight="1" x14ac:dyDescent="0.2">
      <c r="A444" s="156" t="s">
        <v>755</v>
      </c>
      <c r="B444" s="369" t="s">
        <v>756</v>
      </c>
      <c r="C444" s="370"/>
      <c r="D444" s="370"/>
      <c r="E444" s="177">
        <v>-274.92</v>
      </c>
      <c r="F444" s="177">
        <v>0</v>
      </c>
      <c r="G444" s="25"/>
      <c r="H444" s="177">
        <v>0</v>
      </c>
      <c r="I444" s="25"/>
      <c r="J444" s="177">
        <v>-274.92</v>
      </c>
      <c r="K444" s="25">
        <f t="shared" si="6"/>
        <v>0</v>
      </c>
    </row>
    <row r="445" spans="1:11" ht="15.95" customHeight="1" x14ac:dyDescent="0.2">
      <c r="A445" s="156" t="s">
        <v>757</v>
      </c>
      <c r="B445" s="369" t="s">
        <v>758</v>
      </c>
      <c r="C445" s="370"/>
      <c r="D445" s="370"/>
      <c r="E445" s="177">
        <v>-247</v>
      </c>
      <c r="F445" s="177">
        <v>0</v>
      </c>
      <c r="G445" s="25"/>
      <c r="H445" s="177">
        <v>0</v>
      </c>
      <c r="I445" s="25"/>
      <c r="J445" s="177">
        <v>-247</v>
      </c>
      <c r="K445" s="25">
        <f t="shared" si="6"/>
        <v>0</v>
      </c>
    </row>
    <row r="446" spans="1:11" ht="15.95" customHeight="1" x14ac:dyDescent="0.2">
      <c r="A446" s="156" t="s">
        <v>759</v>
      </c>
      <c r="B446" s="369" t="s">
        <v>760</v>
      </c>
      <c r="C446" s="370"/>
      <c r="D446" s="370"/>
      <c r="E446" s="177">
        <v>-22698.47</v>
      </c>
      <c r="F446" s="177">
        <v>0</v>
      </c>
      <c r="G446" s="25"/>
      <c r="H446" s="177">
        <v>0</v>
      </c>
      <c r="I446" s="25"/>
      <c r="J446" s="177">
        <v>-22698.47</v>
      </c>
      <c r="K446" s="25">
        <f t="shared" si="6"/>
        <v>0</v>
      </c>
    </row>
    <row r="447" spans="1:11" ht="15.95" customHeight="1" x14ac:dyDescent="0.2">
      <c r="A447" s="156" t="s">
        <v>761</v>
      </c>
      <c r="B447" s="369" t="s">
        <v>762</v>
      </c>
      <c r="C447" s="370"/>
      <c r="D447" s="370"/>
      <c r="E447" s="177">
        <v>-338.57</v>
      </c>
      <c r="F447" s="177">
        <v>0</v>
      </c>
      <c r="G447" s="25"/>
      <c r="H447" s="177">
        <v>0</v>
      </c>
      <c r="I447" s="25"/>
      <c r="J447" s="177">
        <v>-338.57</v>
      </c>
      <c r="K447" s="25">
        <f t="shared" si="6"/>
        <v>0</v>
      </c>
    </row>
    <row r="448" spans="1:11" ht="15.95" customHeight="1" x14ac:dyDescent="0.2">
      <c r="A448" s="156" t="s">
        <v>763</v>
      </c>
      <c r="B448" s="369" t="s">
        <v>764</v>
      </c>
      <c r="C448" s="370"/>
      <c r="D448" s="370"/>
      <c r="E448" s="177">
        <v>-111.7</v>
      </c>
      <c r="F448" s="177">
        <v>0</v>
      </c>
      <c r="G448" s="25"/>
      <c r="H448" s="177">
        <v>0</v>
      </c>
      <c r="I448" s="25"/>
      <c r="J448" s="177">
        <v>-111.7</v>
      </c>
      <c r="K448" s="25">
        <f t="shared" si="6"/>
        <v>0</v>
      </c>
    </row>
    <row r="449" spans="1:11" ht="15.95" customHeight="1" x14ac:dyDescent="0.2">
      <c r="A449" s="156" t="s">
        <v>765</v>
      </c>
      <c r="B449" s="369" t="s">
        <v>766</v>
      </c>
      <c r="C449" s="370"/>
      <c r="D449" s="370"/>
      <c r="E449" s="177">
        <v>-3215.85</v>
      </c>
      <c r="F449" s="177">
        <v>0</v>
      </c>
      <c r="G449" s="25"/>
      <c r="H449" s="177">
        <v>0</v>
      </c>
      <c r="I449" s="25"/>
      <c r="J449" s="177">
        <v>-3215.85</v>
      </c>
      <c r="K449" s="25">
        <f t="shared" si="6"/>
        <v>0</v>
      </c>
    </row>
    <row r="450" spans="1:11" ht="15.95" customHeight="1" x14ac:dyDescent="0.2">
      <c r="A450" s="156" t="s">
        <v>767</v>
      </c>
      <c r="B450" s="369" t="s">
        <v>768</v>
      </c>
      <c r="C450" s="370"/>
      <c r="D450" s="370"/>
      <c r="E450" s="177">
        <v>-861.9</v>
      </c>
      <c r="F450" s="177">
        <v>0</v>
      </c>
      <c r="G450" s="25"/>
      <c r="H450" s="177">
        <v>0</v>
      </c>
      <c r="I450" s="25"/>
      <c r="J450" s="177">
        <v>-861.9</v>
      </c>
      <c r="K450" s="25">
        <f t="shared" si="6"/>
        <v>0</v>
      </c>
    </row>
    <row r="451" spans="1:11" ht="15.95" customHeight="1" x14ac:dyDescent="0.2">
      <c r="A451" s="156" t="s">
        <v>769</v>
      </c>
      <c r="B451" s="369" t="s">
        <v>770</v>
      </c>
      <c r="C451" s="370"/>
      <c r="D451" s="370"/>
      <c r="E451" s="177">
        <v>-2028.49</v>
      </c>
      <c r="F451" s="177">
        <v>0</v>
      </c>
      <c r="G451" s="25"/>
      <c r="H451" s="177">
        <v>0</v>
      </c>
      <c r="I451" s="25"/>
      <c r="J451" s="177">
        <v>-2028.49</v>
      </c>
      <c r="K451" s="25">
        <f t="shared" si="6"/>
        <v>0</v>
      </c>
    </row>
    <row r="452" spans="1:11" ht="15.95" customHeight="1" x14ac:dyDescent="0.2">
      <c r="A452" s="156" t="s">
        <v>771</v>
      </c>
      <c r="B452" s="369" t="s">
        <v>772</v>
      </c>
      <c r="C452" s="370"/>
      <c r="D452" s="370"/>
      <c r="E452" s="177">
        <v>-1261.4000000000001</v>
      </c>
      <c r="F452" s="177">
        <v>0</v>
      </c>
      <c r="G452" s="25"/>
      <c r="H452" s="177">
        <v>0</v>
      </c>
      <c r="I452" s="25"/>
      <c r="J452" s="177">
        <v>-1261.4000000000001</v>
      </c>
      <c r="K452" s="25">
        <f t="shared" ref="K452:K515" si="7">J452-E452</f>
        <v>0</v>
      </c>
    </row>
    <row r="453" spans="1:11" ht="15.95" customHeight="1" x14ac:dyDescent="0.2">
      <c r="A453" s="156" t="s">
        <v>773</v>
      </c>
      <c r="B453" s="369" t="s">
        <v>774</v>
      </c>
      <c r="C453" s="370"/>
      <c r="D453" s="370"/>
      <c r="E453" s="177">
        <v>-5180.93</v>
      </c>
      <c r="F453" s="177">
        <v>0</v>
      </c>
      <c r="G453" s="25"/>
      <c r="H453" s="177">
        <v>0</v>
      </c>
      <c r="I453" s="25"/>
      <c r="J453" s="177">
        <v>-5180.93</v>
      </c>
      <c r="K453" s="25">
        <f t="shared" si="7"/>
        <v>0</v>
      </c>
    </row>
    <row r="454" spans="1:11" ht="15.95" customHeight="1" x14ac:dyDescent="0.2">
      <c r="A454" s="156" t="s">
        <v>775</v>
      </c>
      <c r="B454" s="369" t="s">
        <v>776</v>
      </c>
      <c r="C454" s="370"/>
      <c r="D454" s="370"/>
      <c r="E454" s="177">
        <v>-206.2</v>
      </c>
      <c r="F454" s="177">
        <v>0</v>
      </c>
      <c r="G454" s="25"/>
      <c r="H454" s="177">
        <v>0</v>
      </c>
      <c r="I454" s="25"/>
      <c r="J454" s="177">
        <v>-206.2</v>
      </c>
      <c r="K454" s="25">
        <f t="shared" si="7"/>
        <v>0</v>
      </c>
    </row>
    <row r="455" spans="1:11" ht="15.95" customHeight="1" x14ac:dyDescent="0.2">
      <c r="A455" s="156" t="s">
        <v>777</v>
      </c>
      <c r="B455" s="369" t="s">
        <v>778</v>
      </c>
      <c r="C455" s="370"/>
      <c r="D455" s="370"/>
      <c r="E455" s="177">
        <v>-608.96</v>
      </c>
      <c r="F455" s="177">
        <v>0</v>
      </c>
      <c r="G455" s="25"/>
      <c r="H455" s="177">
        <v>0</v>
      </c>
      <c r="I455" s="25"/>
      <c r="J455" s="177">
        <v>-608.96</v>
      </c>
      <c r="K455" s="25">
        <f t="shared" si="7"/>
        <v>0</v>
      </c>
    </row>
    <row r="456" spans="1:11" ht="15.95" customHeight="1" x14ac:dyDescent="0.2">
      <c r="A456" s="156" t="s">
        <v>779</v>
      </c>
      <c r="B456" s="369" t="s">
        <v>780</v>
      </c>
      <c r="C456" s="370"/>
      <c r="D456" s="370"/>
      <c r="E456" s="177">
        <v>-156.04</v>
      </c>
      <c r="F456" s="177">
        <v>0</v>
      </c>
      <c r="G456" s="25"/>
      <c r="H456" s="177">
        <v>0</v>
      </c>
      <c r="I456" s="25"/>
      <c r="J456" s="177">
        <v>-156.04</v>
      </c>
      <c r="K456" s="25">
        <f t="shared" si="7"/>
        <v>0</v>
      </c>
    </row>
    <row r="457" spans="1:11" ht="15.95" customHeight="1" x14ac:dyDescent="0.2">
      <c r="A457" s="156" t="s">
        <v>781</v>
      </c>
      <c r="B457" s="369" t="s">
        <v>782</v>
      </c>
      <c r="C457" s="370"/>
      <c r="D457" s="370"/>
      <c r="E457" s="177">
        <v>-109.84</v>
      </c>
      <c r="F457" s="177">
        <v>0</v>
      </c>
      <c r="G457" s="25"/>
      <c r="H457" s="177">
        <v>0</v>
      </c>
      <c r="I457" s="25"/>
      <c r="J457" s="177">
        <v>-109.84</v>
      </c>
      <c r="K457" s="25">
        <f t="shared" si="7"/>
        <v>0</v>
      </c>
    </row>
    <row r="458" spans="1:11" ht="15.95" customHeight="1" x14ac:dyDescent="0.2">
      <c r="A458" s="156" t="s">
        <v>783</v>
      </c>
      <c r="B458" s="369" t="s">
        <v>784</v>
      </c>
      <c r="C458" s="370"/>
      <c r="D458" s="370"/>
      <c r="E458" s="177">
        <v>-683.35</v>
      </c>
      <c r="F458" s="177">
        <v>0</v>
      </c>
      <c r="G458" s="25"/>
      <c r="H458" s="177">
        <v>0</v>
      </c>
      <c r="I458" s="25"/>
      <c r="J458" s="177">
        <v>-683.35</v>
      </c>
      <c r="K458" s="25">
        <f t="shared" si="7"/>
        <v>0</v>
      </c>
    </row>
    <row r="459" spans="1:11" ht="15.95" customHeight="1" x14ac:dyDescent="0.2">
      <c r="A459" s="156" t="s">
        <v>785</v>
      </c>
      <c r="B459" s="369" t="s">
        <v>786</v>
      </c>
      <c r="C459" s="370"/>
      <c r="D459" s="370"/>
      <c r="E459" s="177">
        <v>-27</v>
      </c>
      <c r="F459" s="177">
        <v>90</v>
      </c>
      <c r="G459" s="25"/>
      <c r="H459" s="177">
        <v>90</v>
      </c>
      <c r="I459" s="25"/>
      <c r="J459" s="177">
        <v>-27</v>
      </c>
      <c r="K459" s="25">
        <f t="shared" si="7"/>
        <v>0</v>
      </c>
    </row>
    <row r="460" spans="1:11" ht="15.95" customHeight="1" x14ac:dyDescent="0.2">
      <c r="A460" s="156" t="s">
        <v>787</v>
      </c>
      <c r="B460" s="369" t="s">
        <v>788</v>
      </c>
      <c r="C460" s="370"/>
      <c r="D460" s="370"/>
      <c r="E460" s="177">
        <v>-45.32</v>
      </c>
      <c r="F460" s="177">
        <v>0</v>
      </c>
      <c r="G460" s="25"/>
      <c r="H460" s="177">
        <v>0</v>
      </c>
      <c r="I460" s="25"/>
      <c r="J460" s="177">
        <v>-45.32</v>
      </c>
      <c r="K460" s="25">
        <f t="shared" si="7"/>
        <v>0</v>
      </c>
    </row>
    <row r="461" spans="1:11" ht="15.95" customHeight="1" x14ac:dyDescent="0.2">
      <c r="A461" s="156" t="s">
        <v>789</v>
      </c>
      <c r="B461" s="369" t="s">
        <v>790</v>
      </c>
      <c r="C461" s="370"/>
      <c r="D461" s="370"/>
      <c r="E461" s="177">
        <v>-120.7</v>
      </c>
      <c r="F461" s="177">
        <v>0</v>
      </c>
      <c r="G461" s="25"/>
      <c r="H461" s="177">
        <v>0</v>
      </c>
      <c r="I461" s="25"/>
      <c r="J461" s="177">
        <v>-120.7</v>
      </c>
      <c r="K461" s="25">
        <f t="shared" si="7"/>
        <v>0</v>
      </c>
    </row>
    <row r="462" spans="1:11" ht="15.95" customHeight="1" x14ac:dyDescent="0.2">
      <c r="A462" s="156" t="s">
        <v>791</v>
      </c>
      <c r="B462" s="369" t="s">
        <v>792</v>
      </c>
      <c r="C462" s="370"/>
      <c r="D462" s="370"/>
      <c r="E462" s="177">
        <v>-674.65</v>
      </c>
      <c r="F462" s="177">
        <v>0</v>
      </c>
      <c r="G462" s="25"/>
      <c r="H462" s="177">
        <v>0</v>
      </c>
      <c r="I462" s="25"/>
      <c r="J462" s="177">
        <v>-674.65</v>
      </c>
      <c r="K462" s="25">
        <f t="shared" si="7"/>
        <v>0</v>
      </c>
    </row>
    <row r="463" spans="1:11" ht="15.95" customHeight="1" x14ac:dyDescent="0.2">
      <c r="A463" s="156" t="s">
        <v>793</v>
      </c>
      <c r="B463" s="369" t="s">
        <v>794</v>
      </c>
      <c r="C463" s="370"/>
      <c r="D463" s="370"/>
      <c r="E463" s="177">
        <v>-761.21</v>
      </c>
      <c r="F463" s="177">
        <v>0</v>
      </c>
      <c r="G463" s="25"/>
      <c r="H463" s="177">
        <v>0</v>
      </c>
      <c r="I463" s="25"/>
      <c r="J463" s="177">
        <v>-761.21</v>
      </c>
      <c r="K463" s="25">
        <f t="shared" si="7"/>
        <v>0</v>
      </c>
    </row>
    <row r="464" spans="1:11" ht="15.95" customHeight="1" x14ac:dyDescent="0.2">
      <c r="A464" s="156" t="s">
        <v>795</v>
      </c>
      <c r="B464" s="369" t="s">
        <v>796</v>
      </c>
      <c r="C464" s="370"/>
      <c r="D464" s="370"/>
      <c r="E464" s="177">
        <v>-44.62</v>
      </c>
      <c r="F464" s="177">
        <v>0</v>
      </c>
      <c r="G464" s="25"/>
      <c r="H464" s="177">
        <v>0</v>
      </c>
      <c r="I464" s="25"/>
      <c r="J464" s="177">
        <v>-44.62</v>
      </c>
      <c r="K464" s="25">
        <f t="shared" si="7"/>
        <v>0</v>
      </c>
    </row>
    <row r="465" spans="1:11" ht="15.95" customHeight="1" x14ac:dyDescent="0.2">
      <c r="A465" s="156" t="s">
        <v>797</v>
      </c>
      <c r="B465" s="369" t="s">
        <v>798</v>
      </c>
      <c r="C465" s="370"/>
      <c r="D465" s="370"/>
      <c r="E465" s="177">
        <v>-210.27</v>
      </c>
      <c r="F465" s="177">
        <v>0</v>
      </c>
      <c r="G465" s="25"/>
      <c r="H465" s="177">
        <v>0</v>
      </c>
      <c r="I465" s="25"/>
      <c r="J465" s="177">
        <v>-210.27</v>
      </c>
      <c r="K465" s="25">
        <f t="shared" si="7"/>
        <v>0</v>
      </c>
    </row>
    <row r="466" spans="1:11" ht="15.95" customHeight="1" x14ac:dyDescent="0.2">
      <c r="A466" s="156" t="s">
        <v>799</v>
      </c>
      <c r="B466" s="369" t="s">
        <v>800</v>
      </c>
      <c r="C466" s="370"/>
      <c r="D466" s="370"/>
      <c r="E466" s="177">
        <v>-2590.5</v>
      </c>
      <c r="F466" s="177">
        <v>0</v>
      </c>
      <c r="G466" s="25"/>
      <c r="H466" s="177">
        <v>0</v>
      </c>
      <c r="I466" s="25"/>
      <c r="J466" s="177">
        <v>-2590.5</v>
      </c>
      <c r="K466" s="25">
        <f t="shared" si="7"/>
        <v>0</v>
      </c>
    </row>
    <row r="467" spans="1:11" ht="15.95" customHeight="1" x14ac:dyDescent="0.2">
      <c r="A467" s="156" t="s">
        <v>801</v>
      </c>
      <c r="B467" s="369" t="s">
        <v>802</v>
      </c>
      <c r="C467" s="370"/>
      <c r="D467" s="370"/>
      <c r="E467" s="177">
        <v>-57.77</v>
      </c>
      <c r="F467" s="177">
        <v>0</v>
      </c>
      <c r="G467" s="25"/>
      <c r="H467" s="177">
        <v>0</v>
      </c>
      <c r="I467" s="25"/>
      <c r="J467" s="177">
        <v>-57.77</v>
      </c>
      <c r="K467" s="25">
        <f t="shared" si="7"/>
        <v>0</v>
      </c>
    </row>
    <row r="468" spans="1:11" ht="15.95" customHeight="1" x14ac:dyDescent="0.2">
      <c r="A468" s="156" t="s">
        <v>803</v>
      </c>
      <c r="B468" s="369" t="s">
        <v>804</v>
      </c>
      <c r="C468" s="370"/>
      <c r="D468" s="370"/>
      <c r="E468" s="177">
        <v>-384.27</v>
      </c>
      <c r="F468" s="177">
        <v>0</v>
      </c>
      <c r="G468" s="25"/>
      <c r="H468" s="177">
        <v>0</v>
      </c>
      <c r="I468" s="25"/>
      <c r="J468" s="177">
        <v>-384.27</v>
      </c>
      <c r="K468" s="25">
        <f t="shared" si="7"/>
        <v>0</v>
      </c>
    </row>
    <row r="469" spans="1:11" ht="15.95" customHeight="1" x14ac:dyDescent="0.2">
      <c r="A469" s="156" t="s">
        <v>805</v>
      </c>
      <c r="B469" s="369" t="s">
        <v>806</v>
      </c>
      <c r="C469" s="370"/>
      <c r="D469" s="370"/>
      <c r="E469" s="177">
        <v>-35.020000000000003</v>
      </c>
      <c r="F469" s="177">
        <v>0</v>
      </c>
      <c r="G469" s="25"/>
      <c r="H469" s="177">
        <v>0</v>
      </c>
      <c r="I469" s="25"/>
      <c r="J469" s="177">
        <v>-35.020000000000003</v>
      </c>
      <c r="K469" s="25">
        <f t="shared" si="7"/>
        <v>0</v>
      </c>
    </row>
    <row r="470" spans="1:11" ht="15.95" customHeight="1" x14ac:dyDescent="0.2">
      <c r="A470" s="156" t="s">
        <v>807</v>
      </c>
      <c r="B470" s="369" t="s">
        <v>808</v>
      </c>
      <c r="C470" s="370"/>
      <c r="D470" s="370"/>
      <c r="E470" s="177">
        <v>-2538.48</v>
      </c>
      <c r="F470" s="177">
        <v>2264.87</v>
      </c>
      <c r="G470" s="25"/>
      <c r="H470" s="177">
        <v>0</v>
      </c>
      <c r="I470" s="25"/>
      <c r="J470" s="177">
        <v>-273.61</v>
      </c>
      <c r="K470" s="25">
        <f t="shared" si="7"/>
        <v>2264.87</v>
      </c>
    </row>
    <row r="471" spans="1:11" ht="15.95" customHeight="1" x14ac:dyDescent="0.2">
      <c r="A471" s="156" t="s">
        <v>809</v>
      </c>
      <c r="B471" s="369" t="s">
        <v>810</v>
      </c>
      <c r="C471" s="370"/>
      <c r="D471" s="370"/>
      <c r="E471" s="177">
        <v>-64.599999999999994</v>
      </c>
      <c r="F471" s="177">
        <v>0</v>
      </c>
      <c r="G471" s="25"/>
      <c r="H471" s="177">
        <v>0</v>
      </c>
      <c r="I471" s="25"/>
      <c r="J471" s="177">
        <v>-64.599999999999994</v>
      </c>
      <c r="K471" s="25">
        <f t="shared" si="7"/>
        <v>0</v>
      </c>
    </row>
    <row r="472" spans="1:11" ht="15.95" customHeight="1" x14ac:dyDescent="0.2">
      <c r="A472" s="156" t="s">
        <v>811</v>
      </c>
      <c r="B472" s="369" t="s">
        <v>812</v>
      </c>
      <c r="C472" s="370"/>
      <c r="D472" s="370"/>
      <c r="E472" s="177">
        <v>-410.25</v>
      </c>
      <c r="F472" s="177">
        <v>0</v>
      </c>
      <c r="G472" s="25"/>
      <c r="H472" s="177">
        <v>0</v>
      </c>
      <c r="I472" s="25"/>
      <c r="J472" s="177">
        <v>-410.25</v>
      </c>
      <c r="K472" s="25">
        <f t="shared" si="7"/>
        <v>0</v>
      </c>
    </row>
    <row r="473" spans="1:11" ht="15.95" customHeight="1" x14ac:dyDescent="0.2">
      <c r="A473" s="156" t="s">
        <v>813</v>
      </c>
      <c r="B473" s="369" t="s">
        <v>814</v>
      </c>
      <c r="C473" s="370"/>
      <c r="D473" s="370"/>
      <c r="E473" s="177">
        <v>-49.5</v>
      </c>
      <c r="F473" s="177">
        <v>0</v>
      </c>
      <c r="G473" s="25"/>
      <c r="H473" s="177">
        <v>0</v>
      </c>
      <c r="I473" s="25"/>
      <c r="J473" s="177">
        <v>-49.5</v>
      </c>
      <c r="K473" s="25">
        <f t="shared" si="7"/>
        <v>0</v>
      </c>
    </row>
    <row r="474" spans="1:11" ht="15.95" customHeight="1" x14ac:dyDescent="0.2">
      <c r="A474" s="156" t="s">
        <v>815</v>
      </c>
      <c r="B474" s="369" t="s">
        <v>816</v>
      </c>
      <c r="C474" s="370"/>
      <c r="D474" s="370"/>
      <c r="E474" s="177">
        <v>-228.66</v>
      </c>
      <c r="F474" s="177">
        <v>0</v>
      </c>
      <c r="G474" s="25"/>
      <c r="H474" s="177">
        <v>0</v>
      </c>
      <c r="I474" s="25"/>
      <c r="J474" s="177">
        <v>-228.66</v>
      </c>
      <c r="K474" s="25">
        <f t="shared" si="7"/>
        <v>0</v>
      </c>
    </row>
    <row r="475" spans="1:11" ht="15.95" customHeight="1" x14ac:dyDescent="0.2">
      <c r="A475" s="156" t="s">
        <v>817</v>
      </c>
      <c r="B475" s="369" t="s">
        <v>818</v>
      </c>
      <c r="C475" s="370"/>
      <c r="D475" s="370"/>
      <c r="E475" s="177">
        <v>-145.24</v>
      </c>
      <c r="F475" s="177">
        <v>0</v>
      </c>
      <c r="G475" s="25"/>
      <c r="H475" s="177">
        <v>0</v>
      </c>
      <c r="I475" s="25"/>
      <c r="J475" s="177">
        <v>-145.24</v>
      </c>
      <c r="K475" s="25">
        <f t="shared" si="7"/>
        <v>0</v>
      </c>
    </row>
    <row r="476" spans="1:11" ht="15.95" customHeight="1" x14ac:dyDescent="0.2">
      <c r="A476" s="156" t="s">
        <v>819</v>
      </c>
      <c r="B476" s="369" t="s">
        <v>820</v>
      </c>
      <c r="C476" s="370"/>
      <c r="D476" s="370"/>
      <c r="E476" s="177">
        <v>-515.5</v>
      </c>
      <c r="F476" s="177">
        <v>0</v>
      </c>
      <c r="G476" s="25"/>
      <c r="H476" s="177">
        <v>0</v>
      </c>
      <c r="I476" s="25"/>
      <c r="J476" s="177">
        <v>-515.5</v>
      </c>
      <c r="K476" s="25">
        <f t="shared" si="7"/>
        <v>0</v>
      </c>
    </row>
    <row r="477" spans="1:11" ht="15.95" customHeight="1" x14ac:dyDescent="0.2">
      <c r="A477" s="156" t="s">
        <v>821</v>
      </c>
      <c r="B477" s="369" t="s">
        <v>822</v>
      </c>
      <c r="C477" s="370"/>
      <c r="D477" s="370"/>
      <c r="E477" s="177">
        <v>-22.51</v>
      </c>
      <c r="F477" s="177">
        <v>0</v>
      </c>
      <c r="G477" s="25"/>
      <c r="H477" s="177">
        <v>0</v>
      </c>
      <c r="I477" s="25"/>
      <c r="J477" s="177">
        <v>-22.51</v>
      </c>
      <c r="K477" s="25">
        <f t="shared" si="7"/>
        <v>0</v>
      </c>
    </row>
    <row r="478" spans="1:11" ht="15.95" customHeight="1" x14ac:dyDescent="0.2">
      <c r="A478" s="156" t="s">
        <v>823</v>
      </c>
      <c r="B478" s="369" t="s">
        <v>824</v>
      </c>
      <c r="C478" s="370"/>
      <c r="D478" s="370"/>
      <c r="E478" s="177">
        <v>-10</v>
      </c>
      <c r="F478" s="177">
        <v>0</v>
      </c>
      <c r="G478" s="25"/>
      <c r="H478" s="177">
        <v>0</v>
      </c>
      <c r="I478" s="25"/>
      <c r="J478" s="177">
        <v>-10</v>
      </c>
      <c r="K478" s="25">
        <f t="shared" si="7"/>
        <v>0</v>
      </c>
    </row>
    <row r="479" spans="1:11" ht="15.95" customHeight="1" x14ac:dyDescent="0.2">
      <c r="A479" s="156" t="s">
        <v>825</v>
      </c>
      <c r="B479" s="369" t="s">
        <v>826</v>
      </c>
      <c r="C479" s="370"/>
      <c r="D479" s="370"/>
      <c r="E479" s="177">
        <v>-98.32</v>
      </c>
      <c r="F479" s="177">
        <v>0</v>
      </c>
      <c r="G479" s="25"/>
      <c r="H479" s="177">
        <v>0</v>
      </c>
      <c r="I479" s="25"/>
      <c r="J479" s="177">
        <v>-98.32</v>
      </c>
      <c r="K479" s="25">
        <f t="shared" si="7"/>
        <v>0</v>
      </c>
    </row>
    <row r="480" spans="1:11" ht="15.95" customHeight="1" x14ac:dyDescent="0.2">
      <c r="A480" s="156" t="s">
        <v>827</v>
      </c>
      <c r="B480" s="369" t="s">
        <v>828</v>
      </c>
      <c r="C480" s="370"/>
      <c r="D480" s="370"/>
      <c r="E480" s="177">
        <v>-21.62</v>
      </c>
      <c r="F480" s="177">
        <v>0</v>
      </c>
      <c r="G480" s="25"/>
      <c r="H480" s="177">
        <v>0</v>
      </c>
      <c r="I480" s="25"/>
      <c r="J480" s="177">
        <v>-21.62</v>
      </c>
      <c r="K480" s="25">
        <f t="shared" si="7"/>
        <v>0</v>
      </c>
    </row>
    <row r="481" spans="1:11" ht="15.95" customHeight="1" x14ac:dyDescent="0.2">
      <c r="A481" s="156" t="s">
        <v>829</v>
      </c>
      <c r="B481" s="369" t="s">
        <v>830</v>
      </c>
      <c r="C481" s="370"/>
      <c r="D481" s="370"/>
      <c r="E481" s="177">
        <v>-1274.77</v>
      </c>
      <c r="F481" s="177">
        <v>0</v>
      </c>
      <c r="G481" s="25"/>
      <c r="H481" s="177">
        <v>0</v>
      </c>
      <c r="I481" s="25"/>
      <c r="J481" s="177">
        <v>-1274.77</v>
      </c>
      <c r="K481" s="25">
        <f t="shared" si="7"/>
        <v>0</v>
      </c>
    </row>
    <row r="482" spans="1:11" ht="15.95" customHeight="1" x14ac:dyDescent="0.2">
      <c r="A482" s="156" t="s">
        <v>831</v>
      </c>
      <c r="B482" s="369" t="s">
        <v>832</v>
      </c>
      <c r="C482" s="370"/>
      <c r="D482" s="370"/>
      <c r="E482" s="177">
        <v>-170009.81</v>
      </c>
      <c r="F482" s="177">
        <v>0</v>
      </c>
      <c r="G482" s="25"/>
      <c r="H482" s="177">
        <v>0</v>
      </c>
      <c r="I482" s="25"/>
      <c r="J482" s="177">
        <v>-170009.81</v>
      </c>
      <c r="K482" s="25">
        <f t="shared" si="7"/>
        <v>0</v>
      </c>
    </row>
    <row r="483" spans="1:11" ht="15.95" customHeight="1" x14ac:dyDescent="0.2">
      <c r="A483" s="156" t="s">
        <v>833</v>
      </c>
      <c r="B483" s="369" t="s">
        <v>834</v>
      </c>
      <c r="C483" s="370"/>
      <c r="D483" s="370"/>
      <c r="E483" s="177">
        <v>-268.06</v>
      </c>
      <c r="F483" s="177">
        <v>0</v>
      </c>
      <c r="G483" s="25"/>
      <c r="H483" s="177">
        <v>0</v>
      </c>
      <c r="I483" s="25"/>
      <c r="J483" s="177">
        <v>-268.06</v>
      </c>
      <c r="K483" s="25">
        <f t="shared" si="7"/>
        <v>0</v>
      </c>
    </row>
    <row r="484" spans="1:11" ht="15.95" customHeight="1" x14ac:dyDescent="0.2">
      <c r="A484" s="156" t="s">
        <v>835</v>
      </c>
      <c r="B484" s="369" t="s">
        <v>836</v>
      </c>
      <c r="C484" s="370"/>
      <c r="D484" s="370"/>
      <c r="E484" s="177">
        <v>-394.41</v>
      </c>
      <c r="F484" s="177">
        <v>0</v>
      </c>
      <c r="G484" s="25"/>
      <c r="H484" s="177">
        <v>0</v>
      </c>
      <c r="I484" s="25"/>
      <c r="J484" s="177">
        <v>-394.41</v>
      </c>
      <c r="K484" s="25">
        <f t="shared" si="7"/>
        <v>0</v>
      </c>
    </row>
    <row r="485" spans="1:11" ht="15.95" customHeight="1" x14ac:dyDescent="0.2">
      <c r="A485" s="156" t="s">
        <v>837</v>
      </c>
      <c r="B485" s="369" t="s">
        <v>838</v>
      </c>
      <c r="C485" s="370"/>
      <c r="D485" s="370"/>
      <c r="E485" s="177">
        <v>-140.36000000000001</v>
      </c>
      <c r="F485" s="177">
        <v>0</v>
      </c>
      <c r="G485" s="25"/>
      <c r="H485" s="177">
        <v>0</v>
      </c>
      <c r="I485" s="25"/>
      <c r="J485" s="177">
        <v>-140.36000000000001</v>
      </c>
      <c r="K485" s="25">
        <f t="shared" si="7"/>
        <v>0</v>
      </c>
    </row>
    <row r="486" spans="1:11" ht="15.95" customHeight="1" x14ac:dyDescent="0.2">
      <c r="A486" s="156" t="s">
        <v>839</v>
      </c>
      <c r="B486" s="369" t="s">
        <v>840</v>
      </c>
      <c r="C486" s="370"/>
      <c r="D486" s="370"/>
      <c r="E486" s="177">
        <v>-29.76</v>
      </c>
      <c r="F486" s="177">
        <v>0</v>
      </c>
      <c r="G486" s="25"/>
      <c r="H486" s="177">
        <v>0</v>
      </c>
      <c r="I486" s="25"/>
      <c r="J486" s="177">
        <v>-29.76</v>
      </c>
      <c r="K486" s="25">
        <f t="shared" si="7"/>
        <v>0</v>
      </c>
    </row>
    <row r="487" spans="1:11" ht="15.95" customHeight="1" x14ac:dyDescent="0.2">
      <c r="A487" s="156" t="s">
        <v>841</v>
      </c>
      <c r="B487" s="369" t="s">
        <v>842</v>
      </c>
      <c r="C487" s="370"/>
      <c r="D487" s="370"/>
      <c r="E487" s="177">
        <v>-151.47999999999999</v>
      </c>
      <c r="F487" s="177">
        <v>0</v>
      </c>
      <c r="G487" s="25"/>
      <c r="H487" s="177">
        <v>0</v>
      </c>
      <c r="I487" s="25"/>
      <c r="J487" s="177">
        <v>-151.47999999999999</v>
      </c>
      <c r="K487" s="25">
        <f t="shared" si="7"/>
        <v>0</v>
      </c>
    </row>
    <row r="488" spans="1:11" ht="27.95" customHeight="1" x14ac:dyDescent="0.2">
      <c r="A488" s="156" t="s">
        <v>843</v>
      </c>
      <c r="B488" s="369" t="s">
        <v>844</v>
      </c>
      <c r="C488" s="370"/>
      <c r="D488" s="370"/>
      <c r="E488" s="177">
        <v>-11402.28</v>
      </c>
      <c r="F488" s="177">
        <v>0</v>
      </c>
      <c r="G488" s="25"/>
      <c r="H488" s="177">
        <v>0</v>
      </c>
      <c r="I488" s="25"/>
      <c r="J488" s="177">
        <v>-11402.28</v>
      </c>
      <c r="K488" s="25">
        <f t="shared" si="7"/>
        <v>0</v>
      </c>
    </row>
    <row r="489" spans="1:11" ht="15.95" customHeight="1" x14ac:dyDescent="0.2">
      <c r="A489" s="156" t="s">
        <v>845</v>
      </c>
      <c r="B489" s="369" t="s">
        <v>846</v>
      </c>
      <c r="C489" s="370"/>
      <c r="D489" s="370"/>
      <c r="E489" s="177">
        <v>0</v>
      </c>
      <c r="F489" s="177">
        <v>0</v>
      </c>
      <c r="G489" s="25"/>
      <c r="H489" s="177">
        <v>67.02</v>
      </c>
      <c r="I489" s="25"/>
      <c r="J489" s="177">
        <v>-67.02</v>
      </c>
      <c r="K489" s="25">
        <f t="shared" si="7"/>
        <v>-67.02</v>
      </c>
    </row>
    <row r="490" spans="1:11" ht="15.95" customHeight="1" x14ac:dyDescent="0.2">
      <c r="A490" s="156" t="s">
        <v>847</v>
      </c>
      <c r="B490" s="369" t="s">
        <v>848</v>
      </c>
      <c r="C490" s="370"/>
      <c r="D490" s="370"/>
      <c r="E490" s="177">
        <v>-260.05</v>
      </c>
      <c r="F490" s="177">
        <v>0</v>
      </c>
      <c r="G490" s="25"/>
      <c r="H490" s="177">
        <v>0</v>
      </c>
      <c r="I490" s="25"/>
      <c r="J490" s="177">
        <v>-260.05</v>
      </c>
      <c r="K490" s="25">
        <f t="shared" si="7"/>
        <v>0</v>
      </c>
    </row>
    <row r="491" spans="1:11" ht="15.95" customHeight="1" x14ac:dyDescent="0.2">
      <c r="A491" s="156" t="s">
        <v>849</v>
      </c>
      <c r="B491" s="369" t="s">
        <v>850</v>
      </c>
      <c r="C491" s="370"/>
      <c r="D491" s="370"/>
      <c r="E491" s="177">
        <v>-20.38</v>
      </c>
      <c r="F491" s="177">
        <v>0</v>
      </c>
      <c r="G491" s="25"/>
      <c r="H491" s="177">
        <v>0</v>
      </c>
      <c r="I491" s="25"/>
      <c r="J491" s="177">
        <v>-20.38</v>
      </c>
      <c r="K491" s="25">
        <f t="shared" si="7"/>
        <v>0</v>
      </c>
    </row>
    <row r="492" spans="1:11" ht="15.95" customHeight="1" x14ac:dyDescent="0.2">
      <c r="A492" s="156" t="s">
        <v>851</v>
      </c>
      <c r="B492" s="369" t="s">
        <v>852</v>
      </c>
      <c r="C492" s="370"/>
      <c r="D492" s="370"/>
      <c r="E492" s="177">
        <v>-286.95999999999998</v>
      </c>
      <c r="F492" s="177">
        <v>0</v>
      </c>
      <c r="G492" s="25"/>
      <c r="H492" s="177">
        <v>0</v>
      </c>
      <c r="I492" s="25"/>
      <c r="J492" s="177">
        <v>-286.95999999999998</v>
      </c>
      <c r="K492" s="25">
        <f t="shared" si="7"/>
        <v>0</v>
      </c>
    </row>
    <row r="493" spans="1:11" ht="15.95" customHeight="1" x14ac:dyDescent="0.2">
      <c r="A493" s="156" t="s">
        <v>853</v>
      </c>
      <c r="B493" s="369" t="s">
        <v>854</v>
      </c>
      <c r="C493" s="370"/>
      <c r="D493" s="370"/>
      <c r="E493" s="177">
        <v>-633.79999999999995</v>
      </c>
      <c r="F493" s="177">
        <v>0</v>
      </c>
      <c r="G493" s="25"/>
      <c r="H493" s="177">
        <v>0</v>
      </c>
      <c r="I493" s="25"/>
      <c r="J493" s="177">
        <v>-633.79999999999995</v>
      </c>
      <c r="K493" s="25">
        <f t="shared" si="7"/>
        <v>0</v>
      </c>
    </row>
    <row r="494" spans="1:11" ht="15.95" customHeight="1" x14ac:dyDescent="0.2">
      <c r="A494" s="156" t="s">
        <v>855</v>
      </c>
      <c r="B494" s="369" t="s">
        <v>856</v>
      </c>
      <c r="C494" s="370"/>
      <c r="D494" s="370"/>
      <c r="E494" s="177">
        <v>-260.16000000000003</v>
      </c>
      <c r="F494" s="177">
        <v>0</v>
      </c>
      <c r="G494" s="25"/>
      <c r="H494" s="177">
        <v>0</v>
      </c>
      <c r="I494" s="25"/>
      <c r="J494" s="177">
        <v>-260.16000000000003</v>
      </c>
      <c r="K494" s="25">
        <f t="shared" si="7"/>
        <v>0</v>
      </c>
    </row>
    <row r="495" spans="1:11" ht="15.95" customHeight="1" x14ac:dyDescent="0.2">
      <c r="A495" s="156" t="s">
        <v>857</v>
      </c>
      <c r="B495" s="369" t="s">
        <v>858</v>
      </c>
      <c r="C495" s="370"/>
      <c r="D495" s="370"/>
      <c r="E495" s="177">
        <v>-2953.97</v>
      </c>
      <c r="F495" s="177">
        <v>0</v>
      </c>
      <c r="G495" s="25"/>
      <c r="H495" s="177">
        <v>0</v>
      </c>
      <c r="I495" s="25"/>
      <c r="J495" s="177">
        <v>-2953.97</v>
      </c>
      <c r="K495" s="25">
        <f t="shared" si="7"/>
        <v>0</v>
      </c>
    </row>
    <row r="496" spans="1:11" ht="15.95" customHeight="1" x14ac:dyDescent="0.2">
      <c r="A496" s="156" t="s">
        <v>859</v>
      </c>
      <c r="B496" s="369" t="s">
        <v>860</v>
      </c>
      <c r="C496" s="370"/>
      <c r="D496" s="370"/>
      <c r="E496" s="177">
        <v>-2514.64</v>
      </c>
      <c r="F496" s="177">
        <v>0</v>
      </c>
      <c r="G496" s="25"/>
      <c r="H496" s="177">
        <v>0</v>
      </c>
      <c r="I496" s="25"/>
      <c r="J496" s="177">
        <v>-2514.64</v>
      </c>
      <c r="K496" s="25">
        <f t="shared" si="7"/>
        <v>0</v>
      </c>
    </row>
    <row r="497" spans="1:11" ht="15.95" customHeight="1" x14ac:dyDescent="0.2">
      <c r="A497" s="156" t="s">
        <v>861</v>
      </c>
      <c r="B497" s="369" t="s">
        <v>862</v>
      </c>
      <c r="C497" s="370"/>
      <c r="D497" s="370"/>
      <c r="E497" s="177">
        <v>-29.84</v>
      </c>
      <c r="F497" s="177">
        <v>0</v>
      </c>
      <c r="G497" s="25"/>
      <c r="H497" s="177">
        <v>0</v>
      </c>
      <c r="I497" s="25"/>
      <c r="J497" s="177">
        <v>-29.84</v>
      </c>
      <c r="K497" s="25">
        <f t="shared" si="7"/>
        <v>0</v>
      </c>
    </row>
    <row r="498" spans="1:11" ht="15.95" customHeight="1" x14ac:dyDescent="0.2">
      <c r="A498" s="156" t="s">
        <v>863</v>
      </c>
      <c r="B498" s="369" t="s">
        <v>864</v>
      </c>
      <c r="C498" s="370"/>
      <c r="D498" s="370"/>
      <c r="E498" s="177">
        <v>-866.83</v>
      </c>
      <c r="F498" s="177">
        <v>0</v>
      </c>
      <c r="G498" s="25"/>
      <c r="H498" s="177">
        <v>0</v>
      </c>
      <c r="I498" s="25"/>
      <c r="J498" s="177">
        <v>-866.83</v>
      </c>
      <c r="K498" s="25">
        <f t="shared" si="7"/>
        <v>0</v>
      </c>
    </row>
    <row r="499" spans="1:11" ht="15.95" customHeight="1" x14ac:dyDescent="0.2">
      <c r="A499" s="156" t="s">
        <v>865</v>
      </c>
      <c r="B499" s="369" t="s">
        <v>866</v>
      </c>
      <c r="C499" s="370"/>
      <c r="D499" s="370"/>
      <c r="E499" s="177">
        <v>-236.03</v>
      </c>
      <c r="F499" s="177">
        <v>72675</v>
      </c>
      <c r="G499" s="25"/>
      <c r="H499" s="177">
        <v>72675</v>
      </c>
      <c r="I499" s="25"/>
      <c r="J499" s="177">
        <v>-236.03</v>
      </c>
      <c r="K499" s="25">
        <f t="shared" si="7"/>
        <v>0</v>
      </c>
    </row>
    <row r="500" spans="1:11" ht="15.95" customHeight="1" x14ac:dyDescent="0.2">
      <c r="A500" s="156" t="s">
        <v>867</v>
      </c>
      <c r="B500" s="369" t="s">
        <v>868</v>
      </c>
      <c r="C500" s="370"/>
      <c r="D500" s="370"/>
      <c r="E500" s="177">
        <v>-148.35</v>
      </c>
      <c r="F500" s="177">
        <v>148.35</v>
      </c>
      <c r="G500" s="25"/>
      <c r="H500" s="177">
        <v>112.37</v>
      </c>
      <c r="I500" s="25"/>
      <c r="J500" s="177">
        <v>-112.37</v>
      </c>
      <c r="K500" s="25">
        <f t="shared" si="7"/>
        <v>35.97999999999999</v>
      </c>
    </row>
    <row r="501" spans="1:11" ht="15.95" customHeight="1" x14ac:dyDescent="0.2">
      <c r="A501" s="156" t="s">
        <v>869</v>
      </c>
      <c r="B501" s="369" t="s">
        <v>870</v>
      </c>
      <c r="C501" s="370"/>
      <c r="D501" s="370"/>
      <c r="E501" s="177">
        <v>0</v>
      </c>
      <c r="F501" s="177">
        <v>244.31</v>
      </c>
      <c r="G501" s="25"/>
      <c r="H501" s="177">
        <v>244.31</v>
      </c>
      <c r="I501" s="25"/>
      <c r="J501" s="177">
        <v>0</v>
      </c>
      <c r="K501" s="25">
        <f t="shared" si="7"/>
        <v>0</v>
      </c>
    </row>
    <row r="502" spans="1:11" ht="15.95" customHeight="1" x14ac:dyDescent="0.2">
      <c r="A502" s="156" t="s">
        <v>871</v>
      </c>
      <c r="B502" s="369" t="s">
        <v>872</v>
      </c>
      <c r="C502" s="370"/>
      <c r="D502" s="370"/>
      <c r="E502" s="177">
        <v>-70.819999999999993</v>
      </c>
      <c r="F502" s="177">
        <v>0</v>
      </c>
      <c r="G502" s="25"/>
      <c r="H502" s="177">
        <v>0</v>
      </c>
      <c r="I502" s="25"/>
      <c r="J502" s="177">
        <v>-70.819999999999993</v>
      </c>
      <c r="K502" s="25">
        <f t="shared" si="7"/>
        <v>0</v>
      </c>
    </row>
    <row r="503" spans="1:11" ht="15.95" customHeight="1" x14ac:dyDescent="0.2">
      <c r="A503" s="156" t="s">
        <v>873</v>
      </c>
      <c r="B503" s="369" t="s">
        <v>874</v>
      </c>
      <c r="C503" s="370"/>
      <c r="D503" s="370"/>
      <c r="E503" s="177">
        <v>-396.38</v>
      </c>
      <c r="F503" s="177">
        <v>0</v>
      </c>
      <c r="G503" s="25"/>
      <c r="H503" s="177">
        <v>0</v>
      </c>
      <c r="I503" s="25"/>
      <c r="J503" s="177">
        <v>-396.38</v>
      </c>
      <c r="K503" s="25">
        <f t="shared" si="7"/>
        <v>0</v>
      </c>
    </row>
    <row r="504" spans="1:11" ht="15.95" customHeight="1" x14ac:dyDescent="0.2">
      <c r="A504" s="156" t="s">
        <v>875</v>
      </c>
      <c r="B504" s="369" t="s">
        <v>876</v>
      </c>
      <c r="C504" s="370"/>
      <c r="D504" s="370"/>
      <c r="E504" s="177">
        <v>-117.09</v>
      </c>
      <c r="F504" s="177">
        <v>0</v>
      </c>
      <c r="G504" s="25"/>
      <c r="H504" s="177">
        <v>0</v>
      </c>
      <c r="I504" s="25"/>
      <c r="J504" s="177">
        <v>-117.09</v>
      </c>
      <c r="K504" s="25">
        <f t="shared" si="7"/>
        <v>0</v>
      </c>
    </row>
    <row r="505" spans="1:11" ht="15.95" customHeight="1" x14ac:dyDescent="0.2">
      <c r="A505" s="156" t="s">
        <v>877</v>
      </c>
      <c r="B505" s="369" t="s">
        <v>878</v>
      </c>
      <c r="C505" s="370"/>
      <c r="D505" s="370"/>
      <c r="E505" s="177">
        <v>-1638.3</v>
      </c>
      <c r="F505" s="177">
        <v>0</v>
      </c>
      <c r="G505" s="25"/>
      <c r="H505" s="177">
        <v>0</v>
      </c>
      <c r="I505" s="25"/>
      <c r="J505" s="177">
        <v>-1638.3</v>
      </c>
      <c r="K505" s="25">
        <f t="shared" si="7"/>
        <v>0</v>
      </c>
    </row>
    <row r="506" spans="1:11" ht="15.95" customHeight="1" x14ac:dyDescent="0.2">
      <c r="A506" s="156" t="s">
        <v>879</v>
      </c>
      <c r="B506" s="369" t="s">
        <v>880</v>
      </c>
      <c r="C506" s="370"/>
      <c r="D506" s="370"/>
      <c r="E506" s="177">
        <v>-13.09</v>
      </c>
      <c r="F506" s="177">
        <v>0</v>
      </c>
      <c r="G506" s="25"/>
      <c r="H506" s="177">
        <v>0</v>
      </c>
      <c r="I506" s="25"/>
      <c r="J506" s="177">
        <v>-13.09</v>
      </c>
      <c r="K506" s="25">
        <f t="shared" si="7"/>
        <v>0</v>
      </c>
    </row>
    <row r="507" spans="1:11" ht="15.95" customHeight="1" x14ac:dyDescent="0.2">
      <c r="A507" s="156" t="s">
        <v>881</v>
      </c>
      <c r="B507" s="369" t="s">
        <v>882</v>
      </c>
      <c r="C507" s="370"/>
      <c r="D507" s="370"/>
      <c r="E507" s="177">
        <v>-164.32</v>
      </c>
      <c r="F507" s="177">
        <v>0</v>
      </c>
      <c r="G507" s="25"/>
      <c r="H507" s="177">
        <v>0</v>
      </c>
      <c r="I507" s="25"/>
      <c r="J507" s="177">
        <v>-164.32</v>
      </c>
      <c r="K507" s="25">
        <f t="shared" si="7"/>
        <v>0</v>
      </c>
    </row>
    <row r="508" spans="1:11" ht="15.95" customHeight="1" x14ac:dyDescent="0.2">
      <c r="A508" s="156" t="s">
        <v>883</v>
      </c>
      <c r="B508" s="369" t="s">
        <v>884</v>
      </c>
      <c r="C508" s="370"/>
      <c r="D508" s="370"/>
      <c r="E508" s="177">
        <v>-1094.4100000000001</v>
      </c>
      <c r="F508" s="177">
        <v>0</v>
      </c>
      <c r="G508" s="25"/>
      <c r="H508" s="177">
        <v>0</v>
      </c>
      <c r="I508" s="25"/>
      <c r="J508" s="177">
        <v>-1094.4100000000001</v>
      </c>
      <c r="K508" s="25">
        <f t="shared" si="7"/>
        <v>0</v>
      </c>
    </row>
    <row r="509" spans="1:11" ht="15.95" customHeight="1" x14ac:dyDescent="0.2">
      <c r="A509" s="156" t="s">
        <v>885</v>
      </c>
      <c r="B509" s="369" t="s">
        <v>886</v>
      </c>
      <c r="C509" s="370"/>
      <c r="D509" s="370"/>
      <c r="E509" s="177">
        <v>-136.56</v>
      </c>
      <c r="F509" s="177">
        <v>0</v>
      </c>
      <c r="G509" s="25"/>
      <c r="H509" s="177">
        <v>0</v>
      </c>
      <c r="I509" s="25"/>
      <c r="J509" s="177">
        <v>-136.56</v>
      </c>
      <c r="K509" s="25">
        <f t="shared" si="7"/>
        <v>0</v>
      </c>
    </row>
    <row r="510" spans="1:11" ht="15.95" customHeight="1" x14ac:dyDescent="0.2">
      <c r="A510" s="156" t="s">
        <v>887</v>
      </c>
      <c r="B510" s="369" t="s">
        <v>888</v>
      </c>
      <c r="C510" s="370"/>
      <c r="D510" s="370"/>
      <c r="E510" s="177">
        <v>-2046.48</v>
      </c>
      <c r="F510" s="177">
        <v>0</v>
      </c>
      <c r="G510" s="25"/>
      <c r="H510" s="177">
        <v>0</v>
      </c>
      <c r="I510" s="25"/>
      <c r="J510" s="177">
        <v>-2046.48</v>
      </c>
      <c r="K510" s="25">
        <f t="shared" si="7"/>
        <v>0</v>
      </c>
    </row>
    <row r="511" spans="1:11" ht="15.95" customHeight="1" x14ac:dyDescent="0.2">
      <c r="A511" s="156" t="s">
        <v>1844</v>
      </c>
      <c r="B511" s="369" t="s">
        <v>1845</v>
      </c>
      <c r="C511" s="370"/>
      <c r="D511" s="370"/>
      <c r="E511" s="177">
        <v>0</v>
      </c>
      <c r="F511" s="177">
        <v>57.64</v>
      </c>
      <c r="G511" s="25"/>
      <c r="H511" s="177">
        <v>57.64</v>
      </c>
      <c r="I511" s="25"/>
      <c r="J511" s="177">
        <v>0</v>
      </c>
      <c r="K511" s="25">
        <f t="shared" si="7"/>
        <v>0</v>
      </c>
    </row>
    <row r="512" spans="1:11" ht="15.95" customHeight="1" x14ac:dyDescent="0.2">
      <c r="A512" s="156" t="s">
        <v>889</v>
      </c>
      <c r="B512" s="369" t="s">
        <v>890</v>
      </c>
      <c r="C512" s="370"/>
      <c r="D512" s="370"/>
      <c r="E512" s="177">
        <v>-2708.77</v>
      </c>
      <c r="F512" s="177">
        <v>0</v>
      </c>
      <c r="G512" s="25"/>
      <c r="H512" s="177">
        <v>0</v>
      </c>
      <c r="I512" s="25"/>
      <c r="J512" s="177">
        <v>-2708.77</v>
      </c>
      <c r="K512" s="25">
        <f t="shared" si="7"/>
        <v>0</v>
      </c>
    </row>
    <row r="513" spans="1:11" ht="15.95" customHeight="1" x14ac:dyDescent="0.2">
      <c r="A513" s="156" t="s">
        <v>891</v>
      </c>
      <c r="B513" s="369" t="s">
        <v>892</v>
      </c>
      <c r="C513" s="370"/>
      <c r="D513" s="370"/>
      <c r="E513" s="177">
        <v>-1092.42</v>
      </c>
      <c r="F513" s="177">
        <v>0</v>
      </c>
      <c r="G513" s="25"/>
      <c r="H513" s="177">
        <v>0</v>
      </c>
      <c r="I513" s="25"/>
      <c r="J513" s="177">
        <v>-1092.42</v>
      </c>
      <c r="K513" s="25">
        <f t="shared" si="7"/>
        <v>0</v>
      </c>
    </row>
    <row r="514" spans="1:11" ht="15.95" customHeight="1" x14ac:dyDescent="0.2">
      <c r="A514" s="156" t="s">
        <v>893</v>
      </c>
      <c r="B514" s="369" t="s">
        <v>894</v>
      </c>
      <c r="C514" s="370"/>
      <c r="D514" s="370"/>
      <c r="E514" s="177">
        <v>-52.6</v>
      </c>
      <c r="F514" s="177">
        <v>0</v>
      </c>
      <c r="G514" s="25"/>
      <c r="H514" s="177">
        <v>0</v>
      </c>
      <c r="I514" s="25"/>
      <c r="J514" s="177">
        <v>-52.6</v>
      </c>
      <c r="K514" s="25">
        <f t="shared" si="7"/>
        <v>0</v>
      </c>
    </row>
    <row r="515" spans="1:11" ht="15.95" customHeight="1" x14ac:dyDescent="0.2">
      <c r="A515" s="156" t="s">
        <v>895</v>
      </c>
      <c r="B515" s="369" t="s">
        <v>896</v>
      </c>
      <c r="C515" s="370"/>
      <c r="D515" s="370"/>
      <c r="E515" s="177">
        <v>-93.68</v>
      </c>
      <c r="F515" s="177">
        <v>0</v>
      </c>
      <c r="G515" s="25"/>
      <c r="H515" s="177">
        <v>0</v>
      </c>
      <c r="I515" s="25"/>
      <c r="J515" s="177">
        <v>-93.68</v>
      </c>
      <c r="K515" s="25">
        <f t="shared" si="7"/>
        <v>0</v>
      </c>
    </row>
    <row r="516" spans="1:11" ht="15.95" customHeight="1" x14ac:dyDescent="0.2">
      <c r="A516" s="156" t="s">
        <v>897</v>
      </c>
      <c r="B516" s="369" t="s">
        <v>898</v>
      </c>
      <c r="C516" s="370"/>
      <c r="D516" s="370"/>
      <c r="E516" s="177">
        <v>-27.05</v>
      </c>
      <c r="F516" s="177">
        <v>0</v>
      </c>
      <c r="G516" s="25"/>
      <c r="H516" s="177">
        <v>0</v>
      </c>
      <c r="I516" s="25"/>
      <c r="J516" s="177">
        <v>-27.05</v>
      </c>
      <c r="K516" s="25">
        <f t="shared" ref="K516:K579" si="8">J516-E516</f>
        <v>0</v>
      </c>
    </row>
    <row r="517" spans="1:11" ht="15.95" customHeight="1" x14ac:dyDescent="0.2">
      <c r="A517" s="156" t="s">
        <v>899</v>
      </c>
      <c r="B517" s="369" t="s">
        <v>900</v>
      </c>
      <c r="C517" s="370"/>
      <c r="D517" s="370"/>
      <c r="E517" s="177">
        <v>-429.13</v>
      </c>
      <c r="F517" s="177">
        <v>0</v>
      </c>
      <c r="G517" s="25"/>
      <c r="H517" s="177">
        <v>0</v>
      </c>
      <c r="I517" s="25"/>
      <c r="J517" s="177">
        <v>-429.13</v>
      </c>
      <c r="K517" s="25">
        <f t="shared" si="8"/>
        <v>0</v>
      </c>
    </row>
    <row r="518" spans="1:11" ht="15.95" customHeight="1" x14ac:dyDescent="0.2">
      <c r="A518" s="156" t="s">
        <v>901</v>
      </c>
      <c r="B518" s="369" t="s">
        <v>902</v>
      </c>
      <c r="C518" s="370"/>
      <c r="D518" s="370"/>
      <c r="E518" s="177">
        <v>-91.74</v>
      </c>
      <c r="F518" s="177">
        <v>0</v>
      </c>
      <c r="G518" s="25"/>
      <c r="H518" s="177">
        <v>0</v>
      </c>
      <c r="I518" s="25"/>
      <c r="J518" s="177">
        <v>-91.74</v>
      </c>
      <c r="K518" s="25">
        <f t="shared" si="8"/>
        <v>0</v>
      </c>
    </row>
    <row r="519" spans="1:11" ht="15.95" customHeight="1" x14ac:dyDescent="0.2">
      <c r="A519" s="156" t="s">
        <v>903</v>
      </c>
      <c r="B519" s="369" t="s">
        <v>904</v>
      </c>
      <c r="C519" s="370"/>
      <c r="D519" s="370"/>
      <c r="E519" s="177">
        <v>-501</v>
      </c>
      <c r="F519" s="177">
        <v>0</v>
      </c>
      <c r="G519" s="25"/>
      <c r="H519" s="177">
        <v>0</v>
      </c>
      <c r="I519" s="25"/>
      <c r="J519" s="177">
        <v>-501</v>
      </c>
      <c r="K519" s="25">
        <f t="shared" si="8"/>
        <v>0</v>
      </c>
    </row>
    <row r="520" spans="1:11" ht="15.95" customHeight="1" x14ac:dyDescent="0.2">
      <c r="A520" s="156" t="s">
        <v>905</v>
      </c>
      <c r="B520" s="369" t="s">
        <v>906</v>
      </c>
      <c r="C520" s="370"/>
      <c r="D520" s="370"/>
      <c r="E520" s="177">
        <v>-4910.01</v>
      </c>
      <c r="F520" s="177">
        <v>0</v>
      </c>
      <c r="G520" s="25"/>
      <c r="H520" s="177">
        <v>0</v>
      </c>
      <c r="I520" s="25"/>
      <c r="J520" s="177">
        <v>-4910.01</v>
      </c>
      <c r="K520" s="25">
        <f t="shared" si="8"/>
        <v>0</v>
      </c>
    </row>
    <row r="521" spans="1:11" ht="15.95" customHeight="1" x14ac:dyDescent="0.2">
      <c r="A521" s="156" t="s">
        <v>1846</v>
      </c>
      <c r="B521" s="369" t="s">
        <v>1847</v>
      </c>
      <c r="C521" s="370"/>
      <c r="D521" s="370"/>
      <c r="E521" s="177">
        <v>0</v>
      </c>
      <c r="F521" s="177">
        <v>25.04</v>
      </c>
      <c r="G521" s="25"/>
      <c r="H521" s="177">
        <v>25.04</v>
      </c>
      <c r="I521" s="25"/>
      <c r="J521" s="177">
        <v>0</v>
      </c>
      <c r="K521" s="25">
        <f t="shared" si="8"/>
        <v>0</v>
      </c>
    </row>
    <row r="522" spans="1:11" ht="15.95" customHeight="1" x14ac:dyDescent="0.2">
      <c r="A522" s="156" t="s">
        <v>907</v>
      </c>
      <c r="B522" s="369" t="s">
        <v>908</v>
      </c>
      <c r="C522" s="370"/>
      <c r="D522" s="370"/>
      <c r="E522" s="177">
        <v>-106</v>
      </c>
      <c r="F522" s="177">
        <v>0</v>
      </c>
      <c r="G522" s="25"/>
      <c r="H522" s="177">
        <v>0</v>
      </c>
      <c r="I522" s="25"/>
      <c r="J522" s="177">
        <v>-106</v>
      </c>
      <c r="K522" s="25">
        <f t="shared" si="8"/>
        <v>0</v>
      </c>
    </row>
    <row r="523" spans="1:11" ht="15.95" customHeight="1" x14ac:dyDescent="0.2">
      <c r="A523" s="156" t="s">
        <v>909</v>
      </c>
      <c r="B523" s="369" t="s">
        <v>910</v>
      </c>
      <c r="C523" s="370"/>
      <c r="D523" s="370"/>
      <c r="E523" s="177">
        <v>-41.75</v>
      </c>
      <c r="F523" s="177">
        <v>0</v>
      </c>
      <c r="G523" s="25"/>
      <c r="H523" s="177">
        <v>0</v>
      </c>
      <c r="I523" s="25"/>
      <c r="J523" s="177">
        <v>-41.75</v>
      </c>
      <c r="K523" s="25">
        <f t="shared" si="8"/>
        <v>0</v>
      </c>
    </row>
    <row r="524" spans="1:11" ht="15.95" customHeight="1" x14ac:dyDescent="0.2">
      <c r="A524" s="156" t="s">
        <v>911</v>
      </c>
      <c r="B524" s="369" t="s">
        <v>912</v>
      </c>
      <c r="C524" s="370"/>
      <c r="D524" s="370"/>
      <c r="E524" s="177">
        <v>-25.84</v>
      </c>
      <c r="F524" s="177">
        <v>0</v>
      </c>
      <c r="G524" s="25"/>
      <c r="H524" s="177">
        <v>0</v>
      </c>
      <c r="I524" s="25"/>
      <c r="J524" s="177">
        <v>-25.84</v>
      </c>
      <c r="K524" s="25">
        <f t="shared" si="8"/>
        <v>0</v>
      </c>
    </row>
    <row r="525" spans="1:11" ht="15.95" customHeight="1" x14ac:dyDescent="0.2">
      <c r="A525" s="156" t="s">
        <v>913</v>
      </c>
      <c r="B525" s="369" t="s">
        <v>914</v>
      </c>
      <c r="C525" s="370"/>
      <c r="D525" s="370"/>
      <c r="E525" s="177">
        <v>-24.95</v>
      </c>
      <c r="F525" s="177">
        <v>0</v>
      </c>
      <c r="G525" s="25"/>
      <c r="H525" s="177">
        <v>0</v>
      </c>
      <c r="I525" s="25"/>
      <c r="J525" s="177">
        <v>-24.95</v>
      </c>
      <c r="K525" s="25">
        <f t="shared" si="8"/>
        <v>0</v>
      </c>
    </row>
    <row r="526" spans="1:11" ht="15.95" customHeight="1" x14ac:dyDescent="0.2">
      <c r="A526" s="156" t="s">
        <v>915</v>
      </c>
      <c r="B526" s="369" t="s">
        <v>916</v>
      </c>
      <c r="C526" s="370"/>
      <c r="D526" s="370"/>
      <c r="E526" s="177">
        <v>-2728.5</v>
      </c>
      <c r="F526" s="177">
        <v>3979.67</v>
      </c>
      <c r="G526" s="25"/>
      <c r="H526" s="177">
        <v>1251.17</v>
      </c>
      <c r="I526" s="25"/>
      <c r="J526" s="177">
        <v>0</v>
      </c>
      <c r="K526" s="25">
        <f t="shared" si="8"/>
        <v>2728.5</v>
      </c>
    </row>
    <row r="527" spans="1:11" ht="15.95" customHeight="1" x14ac:dyDescent="0.2">
      <c r="A527" s="156" t="s">
        <v>917</v>
      </c>
      <c r="B527" s="369" t="s">
        <v>918</v>
      </c>
      <c r="C527" s="370"/>
      <c r="D527" s="370"/>
      <c r="E527" s="177">
        <v>-589.86</v>
      </c>
      <c r="F527" s="177">
        <v>0</v>
      </c>
      <c r="G527" s="25"/>
      <c r="H527" s="177">
        <v>0</v>
      </c>
      <c r="I527" s="25"/>
      <c r="J527" s="177">
        <v>-589.86</v>
      </c>
      <c r="K527" s="25">
        <f t="shared" si="8"/>
        <v>0</v>
      </c>
    </row>
    <row r="528" spans="1:11" ht="15.95" customHeight="1" x14ac:dyDescent="0.2">
      <c r="A528" s="156" t="s">
        <v>919</v>
      </c>
      <c r="B528" s="369" t="s">
        <v>920</v>
      </c>
      <c r="C528" s="370"/>
      <c r="D528" s="370"/>
      <c r="E528" s="177">
        <v>-186301.34</v>
      </c>
      <c r="F528" s="177">
        <v>186301.35</v>
      </c>
      <c r="G528" s="25"/>
      <c r="H528" s="177" t="s">
        <v>921</v>
      </c>
      <c r="I528" s="25"/>
      <c r="J528" s="177">
        <v>0</v>
      </c>
      <c r="K528" s="25">
        <f t="shared" si="8"/>
        <v>186301.34</v>
      </c>
    </row>
    <row r="529" spans="1:11" ht="15.95" customHeight="1" x14ac:dyDescent="0.2">
      <c r="A529" s="156" t="s">
        <v>1848</v>
      </c>
      <c r="B529" s="369" t="s">
        <v>1849</v>
      </c>
      <c r="C529" s="370"/>
      <c r="D529" s="370"/>
      <c r="E529" s="177">
        <v>-26.36</v>
      </c>
      <c r="F529" s="177">
        <v>26.36</v>
      </c>
      <c r="G529" s="25"/>
      <c r="H529" s="177">
        <v>0</v>
      </c>
      <c r="I529" s="25"/>
      <c r="J529" s="177">
        <v>0</v>
      </c>
      <c r="K529" s="25">
        <f t="shared" si="8"/>
        <v>26.36</v>
      </c>
    </row>
    <row r="530" spans="1:11" ht="15.95" customHeight="1" x14ac:dyDescent="0.2">
      <c r="A530" s="156" t="s">
        <v>1850</v>
      </c>
      <c r="B530" s="369" t="s">
        <v>1851</v>
      </c>
      <c r="C530" s="370"/>
      <c r="D530" s="370"/>
      <c r="E530" s="177">
        <v>0</v>
      </c>
      <c r="F530" s="177">
        <v>154.22999999999999</v>
      </c>
      <c r="G530" s="25"/>
      <c r="H530" s="177">
        <v>154.22999999999999</v>
      </c>
      <c r="I530" s="25"/>
      <c r="J530" s="177">
        <v>0</v>
      </c>
      <c r="K530" s="25">
        <f t="shared" si="8"/>
        <v>0</v>
      </c>
    </row>
    <row r="531" spans="1:11" ht="15.95" customHeight="1" x14ac:dyDescent="0.2">
      <c r="A531" s="156" t="s">
        <v>1852</v>
      </c>
      <c r="B531" s="369" t="s">
        <v>1853</v>
      </c>
      <c r="C531" s="370"/>
      <c r="D531" s="370"/>
      <c r="E531" s="177">
        <v>0</v>
      </c>
      <c r="F531" s="177">
        <v>10043.85</v>
      </c>
      <c r="G531" s="25"/>
      <c r="H531" s="177">
        <v>10043.85</v>
      </c>
      <c r="I531" s="25"/>
      <c r="J531" s="177">
        <v>0</v>
      </c>
      <c r="K531" s="25">
        <f t="shared" si="8"/>
        <v>0</v>
      </c>
    </row>
    <row r="532" spans="1:11" ht="15.95" customHeight="1" x14ac:dyDescent="0.2">
      <c r="A532" s="156" t="s">
        <v>1854</v>
      </c>
      <c r="B532" s="369" t="s">
        <v>1855</v>
      </c>
      <c r="C532" s="370"/>
      <c r="D532" s="370"/>
      <c r="E532" s="177">
        <v>0</v>
      </c>
      <c r="F532" s="177">
        <v>34117.199999999997</v>
      </c>
      <c r="G532" s="25"/>
      <c r="H532" s="177">
        <v>34117.199999999997</v>
      </c>
      <c r="I532" s="25"/>
      <c r="J532" s="177">
        <v>0</v>
      </c>
      <c r="K532" s="25">
        <f t="shared" si="8"/>
        <v>0</v>
      </c>
    </row>
    <row r="533" spans="1:11" ht="15.95" customHeight="1" x14ac:dyDescent="0.2">
      <c r="A533" s="156" t="s">
        <v>922</v>
      </c>
      <c r="B533" s="369" t="s">
        <v>923</v>
      </c>
      <c r="C533" s="370"/>
      <c r="D533" s="370"/>
      <c r="E533" s="177">
        <v>0</v>
      </c>
      <c r="F533" s="177">
        <v>135.72999999999999</v>
      </c>
      <c r="G533" s="25"/>
      <c r="H533" s="177">
        <v>135.72999999999999</v>
      </c>
      <c r="I533" s="25"/>
      <c r="J533" s="177">
        <v>0</v>
      </c>
      <c r="K533" s="25">
        <f t="shared" si="8"/>
        <v>0</v>
      </c>
    </row>
    <row r="534" spans="1:11" ht="15.95" customHeight="1" x14ac:dyDescent="0.2">
      <c r="A534" s="156" t="s">
        <v>1856</v>
      </c>
      <c r="B534" s="369" t="s">
        <v>1857</v>
      </c>
      <c r="C534" s="370"/>
      <c r="D534" s="370"/>
      <c r="E534" s="177">
        <v>0</v>
      </c>
      <c r="F534" s="177">
        <v>0</v>
      </c>
      <c r="G534" s="25"/>
      <c r="H534" s="177">
        <v>26.36</v>
      </c>
      <c r="I534" s="25"/>
      <c r="J534" s="177">
        <v>-26.36</v>
      </c>
      <c r="K534" s="25">
        <f t="shared" si="8"/>
        <v>-26.36</v>
      </c>
    </row>
    <row r="535" spans="1:11" ht="15.95" customHeight="1" x14ac:dyDescent="0.2">
      <c r="A535" s="156" t="s">
        <v>924</v>
      </c>
      <c r="B535" s="369" t="s">
        <v>925</v>
      </c>
      <c r="C535" s="370"/>
      <c r="D535" s="370"/>
      <c r="E535" s="177">
        <v>-1174220.4099999999</v>
      </c>
      <c r="F535" s="177">
        <v>1086268.17</v>
      </c>
      <c r="G535" s="25"/>
      <c r="H535" s="177">
        <v>865766.86</v>
      </c>
      <c r="I535" s="25"/>
      <c r="J535" s="177">
        <v>-953719.1</v>
      </c>
      <c r="K535" s="25">
        <f t="shared" si="8"/>
        <v>220501.30999999994</v>
      </c>
    </row>
    <row r="536" spans="1:11" ht="15.95" customHeight="1" x14ac:dyDescent="0.2">
      <c r="A536" s="156">
        <v>2170103</v>
      </c>
      <c r="B536" s="369" t="s">
        <v>926</v>
      </c>
      <c r="C536" s="370"/>
      <c r="D536" s="370"/>
      <c r="E536" s="177">
        <v>-2074158.23</v>
      </c>
      <c r="F536" s="177">
        <v>0</v>
      </c>
      <c r="G536" s="25"/>
      <c r="H536" s="177">
        <v>0</v>
      </c>
      <c r="I536" s="25"/>
      <c r="J536" s="177">
        <v>-2074158.23</v>
      </c>
      <c r="K536" s="25">
        <f t="shared" si="8"/>
        <v>0</v>
      </c>
    </row>
    <row r="537" spans="1:11" ht="15.95" customHeight="1" x14ac:dyDescent="0.2">
      <c r="A537" s="156" t="s">
        <v>927</v>
      </c>
      <c r="B537" s="369" t="s">
        <v>928</v>
      </c>
      <c r="C537" s="370"/>
      <c r="D537" s="370"/>
      <c r="E537" s="177">
        <v>-130924.65</v>
      </c>
      <c r="F537" s="177">
        <v>0</v>
      </c>
      <c r="G537" s="25"/>
      <c r="H537" s="177">
        <v>0</v>
      </c>
      <c r="I537" s="25"/>
      <c r="J537" s="177">
        <v>-130924.65</v>
      </c>
      <c r="K537" s="25">
        <f t="shared" si="8"/>
        <v>0</v>
      </c>
    </row>
    <row r="538" spans="1:11" ht="15.95" customHeight="1" x14ac:dyDescent="0.2">
      <c r="A538" s="156" t="s">
        <v>929</v>
      </c>
      <c r="B538" s="369" t="s">
        <v>930</v>
      </c>
      <c r="C538" s="370"/>
      <c r="D538" s="370"/>
      <c r="E538" s="177">
        <v>-226.75</v>
      </c>
      <c r="F538" s="177">
        <v>0</v>
      </c>
      <c r="G538" s="25"/>
      <c r="H538" s="177">
        <v>0</v>
      </c>
      <c r="I538" s="25"/>
      <c r="J538" s="177">
        <v>-226.75</v>
      </c>
      <c r="K538" s="25">
        <f t="shared" si="8"/>
        <v>0</v>
      </c>
    </row>
    <row r="539" spans="1:11" ht="15.95" customHeight="1" x14ac:dyDescent="0.2">
      <c r="A539" s="156" t="s">
        <v>931</v>
      </c>
      <c r="B539" s="369" t="s">
        <v>932</v>
      </c>
      <c r="C539" s="370"/>
      <c r="D539" s="370"/>
      <c r="E539" s="177">
        <v>-1794.57</v>
      </c>
      <c r="F539" s="177">
        <v>0</v>
      </c>
      <c r="G539" s="25"/>
      <c r="H539" s="177">
        <v>0</v>
      </c>
      <c r="I539" s="25"/>
      <c r="J539" s="177">
        <v>-1794.57</v>
      </c>
      <c r="K539" s="25">
        <f t="shared" si="8"/>
        <v>0</v>
      </c>
    </row>
    <row r="540" spans="1:11" ht="15.95" customHeight="1" x14ac:dyDescent="0.2">
      <c r="A540" s="156" t="s">
        <v>933</v>
      </c>
      <c r="B540" s="369" t="s">
        <v>934</v>
      </c>
      <c r="C540" s="370"/>
      <c r="D540" s="370"/>
      <c r="E540" s="177">
        <v>-47342.879999999997</v>
      </c>
      <c r="F540" s="177">
        <v>0</v>
      </c>
      <c r="G540" s="25"/>
      <c r="H540" s="177">
        <v>0</v>
      </c>
      <c r="I540" s="25"/>
      <c r="J540" s="177">
        <v>-47342.879999999997</v>
      </c>
      <c r="K540" s="25">
        <f t="shared" si="8"/>
        <v>0</v>
      </c>
    </row>
    <row r="541" spans="1:11" ht="15.95" customHeight="1" x14ac:dyDescent="0.2">
      <c r="A541" s="156" t="s">
        <v>935</v>
      </c>
      <c r="B541" s="369" t="s">
        <v>936</v>
      </c>
      <c r="C541" s="370"/>
      <c r="D541" s="370"/>
      <c r="E541" s="177">
        <v>-2247.4699999999998</v>
      </c>
      <c r="F541" s="177">
        <v>0</v>
      </c>
      <c r="G541" s="25"/>
      <c r="H541" s="177">
        <v>0</v>
      </c>
      <c r="I541" s="25"/>
      <c r="J541" s="177">
        <v>-2247.4699999999998</v>
      </c>
      <c r="K541" s="25">
        <f t="shared" si="8"/>
        <v>0</v>
      </c>
    </row>
    <row r="542" spans="1:11" ht="27.95" customHeight="1" x14ac:dyDescent="0.2">
      <c r="A542" s="156" t="s">
        <v>937</v>
      </c>
      <c r="B542" s="369" t="s">
        <v>938</v>
      </c>
      <c r="C542" s="370"/>
      <c r="D542" s="370"/>
      <c r="E542" s="177">
        <v>-1269.3900000000001</v>
      </c>
      <c r="F542" s="177">
        <v>0</v>
      </c>
      <c r="G542" s="25"/>
      <c r="H542" s="177">
        <v>0</v>
      </c>
      <c r="I542" s="25"/>
      <c r="J542" s="177">
        <v>-1269.3900000000001</v>
      </c>
      <c r="K542" s="25">
        <f t="shared" si="8"/>
        <v>0</v>
      </c>
    </row>
    <row r="543" spans="1:11" ht="15.95" customHeight="1" x14ac:dyDescent="0.2">
      <c r="A543" s="156" t="s">
        <v>939</v>
      </c>
      <c r="B543" s="369" t="s">
        <v>940</v>
      </c>
      <c r="C543" s="370"/>
      <c r="D543" s="370"/>
      <c r="E543" s="177">
        <v>-33360.89</v>
      </c>
      <c r="F543" s="177">
        <v>0</v>
      </c>
      <c r="G543" s="25"/>
      <c r="H543" s="177">
        <v>0</v>
      </c>
      <c r="I543" s="25"/>
      <c r="J543" s="177">
        <v>-33360.89</v>
      </c>
      <c r="K543" s="25">
        <f t="shared" si="8"/>
        <v>0</v>
      </c>
    </row>
    <row r="544" spans="1:11" ht="15.95" customHeight="1" x14ac:dyDescent="0.2">
      <c r="A544" s="156" t="s">
        <v>941</v>
      </c>
      <c r="B544" s="369" t="s">
        <v>942</v>
      </c>
      <c r="C544" s="370"/>
      <c r="D544" s="370"/>
      <c r="E544" s="177">
        <v>-1242633.32</v>
      </c>
      <c r="F544" s="177">
        <v>0</v>
      </c>
      <c r="G544" s="25"/>
      <c r="H544" s="177">
        <v>0</v>
      </c>
      <c r="I544" s="25"/>
      <c r="J544" s="177">
        <v>-1242633.32</v>
      </c>
      <c r="K544" s="25">
        <f t="shared" si="8"/>
        <v>0</v>
      </c>
    </row>
    <row r="545" spans="1:11" ht="15.95" customHeight="1" x14ac:dyDescent="0.2">
      <c r="A545" s="156" t="s">
        <v>943</v>
      </c>
      <c r="B545" s="369" t="s">
        <v>944</v>
      </c>
      <c r="C545" s="370"/>
      <c r="D545" s="370"/>
      <c r="E545" s="177">
        <v>-1390.47</v>
      </c>
      <c r="F545" s="177">
        <v>0</v>
      </c>
      <c r="G545" s="25"/>
      <c r="H545" s="177">
        <v>0</v>
      </c>
      <c r="I545" s="25"/>
      <c r="J545" s="177">
        <v>-1390.47</v>
      </c>
      <c r="K545" s="25">
        <f t="shared" si="8"/>
        <v>0</v>
      </c>
    </row>
    <row r="546" spans="1:11" ht="15.95" customHeight="1" x14ac:dyDescent="0.2">
      <c r="A546" s="156" t="s">
        <v>945</v>
      </c>
      <c r="B546" s="369" t="s">
        <v>946</v>
      </c>
      <c r="C546" s="370"/>
      <c r="D546" s="370"/>
      <c r="E546" s="177">
        <v>-120520.27</v>
      </c>
      <c r="F546" s="177">
        <v>0</v>
      </c>
      <c r="G546" s="25"/>
      <c r="H546" s="177">
        <v>0</v>
      </c>
      <c r="I546" s="25"/>
      <c r="J546" s="177">
        <v>-120520.27</v>
      </c>
      <c r="K546" s="25">
        <f t="shared" si="8"/>
        <v>0</v>
      </c>
    </row>
    <row r="547" spans="1:11" ht="15.95" customHeight="1" x14ac:dyDescent="0.2">
      <c r="A547" s="156" t="s">
        <v>947</v>
      </c>
      <c r="B547" s="369" t="s">
        <v>948</v>
      </c>
      <c r="C547" s="370"/>
      <c r="D547" s="370"/>
      <c r="E547" s="177">
        <v>-328.74</v>
      </c>
      <c r="F547" s="177">
        <v>0</v>
      </c>
      <c r="G547" s="25"/>
      <c r="H547" s="177">
        <v>0</v>
      </c>
      <c r="I547" s="25"/>
      <c r="J547" s="177">
        <v>-328.74</v>
      </c>
      <c r="K547" s="25">
        <f t="shared" si="8"/>
        <v>0</v>
      </c>
    </row>
    <row r="548" spans="1:11" ht="15.95" customHeight="1" x14ac:dyDescent="0.2">
      <c r="A548" s="156" t="s">
        <v>949</v>
      </c>
      <c r="B548" s="369" t="s">
        <v>950</v>
      </c>
      <c r="C548" s="370"/>
      <c r="D548" s="370"/>
      <c r="E548" s="177">
        <v>-432.02</v>
      </c>
      <c r="F548" s="177">
        <v>0</v>
      </c>
      <c r="G548" s="25"/>
      <c r="H548" s="177">
        <v>0</v>
      </c>
      <c r="I548" s="25"/>
      <c r="J548" s="177">
        <v>-432.02</v>
      </c>
      <c r="K548" s="25">
        <f t="shared" si="8"/>
        <v>0</v>
      </c>
    </row>
    <row r="549" spans="1:11" ht="15.95" customHeight="1" x14ac:dyDescent="0.2">
      <c r="A549" s="156" t="s">
        <v>951</v>
      </c>
      <c r="B549" s="369" t="s">
        <v>952</v>
      </c>
      <c r="C549" s="370"/>
      <c r="D549" s="370"/>
      <c r="E549" s="177">
        <v>-107.73</v>
      </c>
      <c r="F549" s="177">
        <v>0</v>
      </c>
      <c r="G549" s="25"/>
      <c r="H549" s="177">
        <v>0</v>
      </c>
      <c r="I549" s="25"/>
      <c r="J549" s="177">
        <v>-107.73</v>
      </c>
      <c r="K549" s="25">
        <f t="shared" si="8"/>
        <v>0</v>
      </c>
    </row>
    <row r="550" spans="1:11" ht="15.95" customHeight="1" x14ac:dyDescent="0.2">
      <c r="A550" s="156" t="s">
        <v>953</v>
      </c>
      <c r="B550" s="369" t="s">
        <v>954</v>
      </c>
      <c r="C550" s="370"/>
      <c r="D550" s="370"/>
      <c r="E550" s="177">
        <v>-514.91999999999996</v>
      </c>
      <c r="F550" s="177">
        <v>0</v>
      </c>
      <c r="G550" s="25"/>
      <c r="H550" s="177">
        <v>0</v>
      </c>
      <c r="I550" s="25"/>
      <c r="J550" s="177">
        <v>-514.91999999999996</v>
      </c>
      <c r="K550" s="25">
        <f t="shared" si="8"/>
        <v>0</v>
      </c>
    </row>
    <row r="551" spans="1:11" ht="15.95" customHeight="1" x14ac:dyDescent="0.2">
      <c r="A551" s="156" t="s">
        <v>955</v>
      </c>
      <c r="B551" s="369" t="s">
        <v>956</v>
      </c>
      <c r="C551" s="370"/>
      <c r="D551" s="370"/>
      <c r="E551" s="177">
        <v>-18892.57</v>
      </c>
      <c r="F551" s="177">
        <v>0</v>
      </c>
      <c r="G551" s="25"/>
      <c r="H551" s="177">
        <v>0</v>
      </c>
      <c r="I551" s="25"/>
      <c r="J551" s="177">
        <v>-18892.57</v>
      </c>
      <c r="K551" s="25">
        <f t="shared" si="8"/>
        <v>0</v>
      </c>
    </row>
    <row r="552" spans="1:11" ht="15.95" customHeight="1" x14ac:dyDescent="0.2">
      <c r="A552" s="156" t="s">
        <v>957</v>
      </c>
      <c r="B552" s="369" t="s">
        <v>958</v>
      </c>
      <c r="C552" s="370"/>
      <c r="D552" s="370"/>
      <c r="E552" s="177">
        <v>-2092.9</v>
      </c>
      <c r="F552" s="177">
        <v>0</v>
      </c>
      <c r="G552" s="25"/>
      <c r="H552" s="177">
        <v>0</v>
      </c>
      <c r="I552" s="25"/>
      <c r="J552" s="177">
        <v>-2092.9</v>
      </c>
      <c r="K552" s="25">
        <f t="shared" si="8"/>
        <v>0</v>
      </c>
    </row>
    <row r="553" spans="1:11" ht="15.95" customHeight="1" x14ac:dyDescent="0.2">
      <c r="A553" s="156" t="s">
        <v>959</v>
      </c>
      <c r="B553" s="369" t="s">
        <v>960</v>
      </c>
      <c r="C553" s="370"/>
      <c r="D553" s="370"/>
      <c r="E553" s="177">
        <v>-198.92</v>
      </c>
      <c r="F553" s="177">
        <v>0</v>
      </c>
      <c r="G553" s="25"/>
      <c r="H553" s="177">
        <v>0</v>
      </c>
      <c r="I553" s="25"/>
      <c r="J553" s="177">
        <v>-198.92</v>
      </c>
      <c r="K553" s="25">
        <f t="shared" si="8"/>
        <v>0</v>
      </c>
    </row>
    <row r="554" spans="1:11" ht="15.95" customHeight="1" x14ac:dyDescent="0.2">
      <c r="A554" s="156" t="s">
        <v>961</v>
      </c>
      <c r="B554" s="369" t="s">
        <v>962</v>
      </c>
      <c r="C554" s="370"/>
      <c r="D554" s="370"/>
      <c r="E554" s="177">
        <v>-631.79999999999995</v>
      </c>
      <c r="F554" s="177">
        <v>0</v>
      </c>
      <c r="G554" s="25"/>
      <c r="H554" s="177">
        <v>0</v>
      </c>
      <c r="I554" s="25"/>
      <c r="J554" s="177">
        <v>-631.79999999999995</v>
      </c>
      <c r="K554" s="25">
        <f t="shared" si="8"/>
        <v>0</v>
      </c>
    </row>
    <row r="555" spans="1:11" ht="15.95" customHeight="1" x14ac:dyDescent="0.2">
      <c r="A555" s="156" t="s">
        <v>963</v>
      </c>
      <c r="B555" s="369" t="s">
        <v>964</v>
      </c>
      <c r="C555" s="370"/>
      <c r="D555" s="370"/>
      <c r="E555" s="177">
        <v>-11.83</v>
      </c>
      <c r="F555" s="177">
        <v>0</v>
      </c>
      <c r="G555" s="25"/>
      <c r="H555" s="177">
        <v>0</v>
      </c>
      <c r="I555" s="25"/>
      <c r="J555" s="177">
        <v>-11.83</v>
      </c>
      <c r="K555" s="25">
        <f t="shared" si="8"/>
        <v>0</v>
      </c>
    </row>
    <row r="556" spans="1:11" ht="15.95" customHeight="1" x14ac:dyDescent="0.2">
      <c r="A556" s="156" t="s">
        <v>965</v>
      </c>
      <c r="B556" s="369" t="s">
        <v>966</v>
      </c>
      <c r="C556" s="370"/>
      <c r="D556" s="370"/>
      <c r="E556" s="177">
        <v>-1312.41</v>
      </c>
      <c r="F556" s="177">
        <v>0</v>
      </c>
      <c r="G556" s="25"/>
      <c r="H556" s="177">
        <v>0</v>
      </c>
      <c r="I556" s="25"/>
      <c r="J556" s="177">
        <v>-1312.41</v>
      </c>
      <c r="K556" s="25">
        <f t="shared" si="8"/>
        <v>0</v>
      </c>
    </row>
    <row r="557" spans="1:11" ht="15.95" customHeight="1" x14ac:dyDescent="0.2">
      <c r="A557" s="156" t="s">
        <v>967</v>
      </c>
      <c r="B557" s="369" t="s">
        <v>968</v>
      </c>
      <c r="C557" s="370"/>
      <c r="D557" s="370"/>
      <c r="E557" s="177">
        <v>-334.96</v>
      </c>
      <c r="F557" s="177">
        <v>0</v>
      </c>
      <c r="G557" s="25"/>
      <c r="H557" s="177">
        <v>0</v>
      </c>
      <c r="I557" s="25"/>
      <c r="J557" s="177">
        <v>-334.96</v>
      </c>
      <c r="K557" s="25">
        <f t="shared" si="8"/>
        <v>0</v>
      </c>
    </row>
    <row r="558" spans="1:11" ht="15.95" customHeight="1" x14ac:dyDescent="0.2">
      <c r="A558" s="156" t="s">
        <v>969</v>
      </c>
      <c r="B558" s="369" t="s">
        <v>970</v>
      </c>
      <c r="C558" s="370"/>
      <c r="D558" s="370"/>
      <c r="E558" s="177">
        <v>-59.39</v>
      </c>
      <c r="F558" s="177">
        <v>0</v>
      </c>
      <c r="G558" s="25"/>
      <c r="H558" s="177">
        <v>0</v>
      </c>
      <c r="I558" s="25"/>
      <c r="J558" s="177">
        <v>-59.39</v>
      </c>
      <c r="K558" s="25">
        <f t="shared" si="8"/>
        <v>0</v>
      </c>
    </row>
    <row r="559" spans="1:11" ht="15.95" customHeight="1" x14ac:dyDescent="0.2">
      <c r="A559" s="156" t="s">
        <v>971</v>
      </c>
      <c r="B559" s="369" t="s">
        <v>972</v>
      </c>
      <c r="C559" s="370"/>
      <c r="D559" s="370"/>
      <c r="E559" s="177">
        <v>-1929.28</v>
      </c>
      <c r="F559" s="177">
        <v>0</v>
      </c>
      <c r="G559" s="25"/>
      <c r="H559" s="177">
        <v>0</v>
      </c>
      <c r="I559" s="25"/>
      <c r="J559" s="177">
        <v>-1929.28</v>
      </c>
      <c r="K559" s="25">
        <f t="shared" si="8"/>
        <v>0</v>
      </c>
    </row>
    <row r="560" spans="1:11" ht="15.95" customHeight="1" x14ac:dyDescent="0.2">
      <c r="A560" s="156" t="s">
        <v>973</v>
      </c>
      <c r="B560" s="369" t="s">
        <v>974</v>
      </c>
      <c r="C560" s="370"/>
      <c r="D560" s="370"/>
      <c r="E560" s="177">
        <v>-465600.1</v>
      </c>
      <c r="F560" s="177">
        <v>0</v>
      </c>
      <c r="G560" s="25"/>
      <c r="H560" s="177">
        <v>0</v>
      </c>
      <c r="I560" s="25"/>
      <c r="J560" s="177">
        <v>-465600.1</v>
      </c>
      <c r="K560" s="25">
        <f t="shared" si="8"/>
        <v>0</v>
      </c>
    </row>
    <row r="561" spans="1:11" ht="15.95" customHeight="1" x14ac:dyDescent="0.2">
      <c r="A561" s="156">
        <v>2170104</v>
      </c>
      <c r="B561" s="369" t="s">
        <v>975</v>
      </c>
      <c r="C561" s="370"/>
      <c r="D561" s="370"/>
      <c r="E561" s="177">
        <v>-712791.89</v>
      </c>
      <c r="F561" s="177">
        <v>0</v>
      </c>
      <c r="G561" s="25"/>
      <c r="H561" s="177">
        <v>289252.46000000002</v>
      </c>
      <c r="I561" s="25"/>
      <c r="J561" s="177">
        <v>-1002044.35</v>
      </c>
      <c r="K561" s="25">
        <f t="shared" si="8"/>
        <v>-289252.45999999996</v>
      </c>
    </row>
    <row r="562" spans="1:11" ht="15.95" customHeight="1" x14ac:dyDescent="0.2">
      <c r="A562" s="156" t="s">
        <v>976</v>
      </c>
      <c r="B562" s="369" t="s">
        <v>977</v>
      </c>
      <c r="C562" s="370"/>
      <c r="D562" s="370"/>
      <c r="E562" s="177">
        <v>-849.06</v>
      </c>
      <c r="F562" s="177">
        <v>0</v>
      </c>
      <c r="G562" s="25"/>
      <c r="H562" s="177">
        <v>0</v>
      </c>
      <c r="I562" s="25"/>
      <c r="J562" s="177">
        <v>-849.06</v>
      </c>
      <c r="K562" s="25">
        <f t="shared" si="8"/>
        <v>0</v>
      </c>
    </row>
    <row r="563" spans="1:11" ht="15.95" customHeight="1" x14ac:dyDescent="0.2">
      <c r="A563" s="156" t="s">
        <v>978</v>
      </c>
      <c r="B563" s="369" t="s">
        <v>979</v>
      </c>
      <c r="C563" s="370"/>
      <c r="D563" s="370"/>
      <c r="E563" s="177">
        <v>-27781.55</v>
      </c>
      <c r="F563" s="177">
        <v>0</v>
      </c>
      <c r="G563" s="25"/>
      <c r="H563" s="177">
        <v>9176.49</v>
      </c>
      <c r="I563" s="25"/>
      <c r="J563" s="177">
        <v>-36958.04</v>
      </c>
      <c r="K563" s="25">
        <f t="shared" si="8"/>
        <v>-9176.4900000000016</v>
      </c>
    </row>
    <row r="564" spans="1:11" ht="15.95" customHeight="1" x14ac:dyDescent="0.2">
      <c r="A564" s="156" t="s">
        <v>980</v>
      </c>
      <c r="B564" s="369" t="s">
        <v>981</v>
      </c>
      <c r="C564" s="370"/>
      <c r="D564" s="370"/>
      <c r="E564" s="177">
        <v>-6195.02</v>
      </c>
      <c r="F564" s="177">
        <v>0</v>
      </c>
      <c r="G564" s="25"/>
      <c r="H564" s="177">
        <v>1969.78</v>
      </c>
      <c r="I564" s="25"/>
      <c r="J564" s="177">
        <v>-8164.8</v>
      </c>
      <c r="K564" s="25">
        <f t="shared" si="8"/>
        <v>-1969.7799999999997</v>
      </c>
    </row>
    <row r="565" spans="1:11" ht="15.95" customHeight="1" x14ac:dyDescent="0.2">
      <c r="A565" s="156" t="s">
        <v>982</v>
      </c>
      <c r="B565" s="369" t="s">
        <v>983</v>
      </c>
      <c r="C565" s="370"/>
      <c r="D565" s="370"/>
      <c r="E565" s="177">
        <v>-63.22</v>
      </c>
      <c r="F565" s="177">
        <v>0</v>
      </c>
      <c r="G565" s="25"/>
      <c r="H565" s="177">
        <v>0</v>
      </c>
      <c r="I565" s="25"/>
      <c r="J565" s="177">
        <v>-63.22</v>
      </c>
      <c r="K565" s="25">
        <f t="shared" si="8"/>
        <v>0</v>
      </c>
    </row>
    <row r="566" spans="1:11" ht="15.95" customHeight="1" x14ac:dyDescent="0.2">
      <c r="A566" s="156" t="s">
        <v>984</v>
      </c>
      <c r="B566" s="369" t="s">
        <v>985</v>
      </c>
      <c r="C566" s="370"/>
      <c r="D566" s="370"/>
      <c r="E566" s="177">
        <v>-1061.8</v>
      </c>
      <c r="F566" s="177">
        <v>0</v>
      </c>
      <c r="G566" s="25"/>
      <c r="H566" s="177">
        <v>0</v>
      </c>
      <c r="I566" s="25"/>
      <c r="J566" s="177">
        <v>-1061.8</v>
      </c>
      <c r="K566" s="25">
        <f t="shared" si="8"/>
        <v>0</v>
      </c>
    </row>
    <row r="567" spans="1:11" ht="15.95" customHeight="1" x14ac:dyDescent="0.2">
      <c r="A567" s="156" t="s">
        <v>986</v>
      </c>
      <c r="B567" s="369" t="s">
        <v>987</v>
      </c>
      <c r="C567" s="370"/>
      <c r="D567" s="370"/>
      <c r="E567" s="177">
        <v>-134339.62</v>
      </c>
      <c r="F567" s="177">
        <v>0</v>
      </c>
      <c r="G567" s="25"/>
      <c r="H567" s="177">
        <v>44306.57</v>
      </c>
      <c r="I567" s="25"/>
      <c r="J567" s="177">
        <v>-178646.19</v>
      </c>
      <c r="K567" s="25">
        <f t="shared" si="8"/>
        <v>-44306.570000000007</v>
      </c>
    </row>
    <row r="568" spans="1:11" ht="15.95" customHeight="1" x14ac:dyDescent="0.2">
      <c r="A568" s="156" t="s">
        <v>988</v>
      </c>
      <c r="B568" s="369" t="s">
        <v>989</v>
      </c>
      <c r="C568" s="370"/>
      <c r="D568" s="370"/>
      <c r="E568" s="177">
        <v>-176.92</v>
      </c>
      <c r="F568" s="177">
        <v>0</v>
      </c>
      <c r="G568" s="25"/>
      <c r="H568" s="177">
        <v>0</v>
      </c>
      <c r="I568" s="25"/>
      <c r="J568" s="177">
        <v>-176.92</v>
      </c>
      <c r="K568" s="25">
        <f t="shared" si="8"/>
        <v>0</v>
      </c>
    </row>
    <row r="569" spans="1:11" ht="15.95" customHeight="1" x14ac:dyDescent="0.2">
      <c r="A569" s="156" t="s">
        <v>990</v>
      </c>
      <c r="B569" s="369" t="s">
        <v>991</v>
      </c>
      <c r="C569" s="370"/>
      <c r="D569" s="370"/>
      <c r="E569" s="177">
        <v>-19700.63</v>
      </c>
      <c r="F569" s="177">
        <v>0</v>
      </c>
      <c r="G569" s="25"/>
      <c r="H569" s="177">
        <v>7384.25</v>
      </c>
      <c r="I569" s="25"/>
      <c r="J569" s="177">
        <v>-27084.880000000001</v>
      </c>
      <c r="K569" s="25">
        <f t="shared" si="8"/>
        <v>-7384.25</v>
      </c>
    </row>
    <row r="570" spans="1:11" ht="15.95" customHeight="1" x14ac:dyDescent="0.2">
      <c r="A570" s="156" t="s">
        <v>992</v>
      </c>
      <c r="B570" s="369" t="s">
        <v>993</v>
      </c>
      <c r="C570" s="370"/>
      <c r="D570" s="370"/>
      <c r="E570" s="177">
        <v>-201984.8</v>
      </c>
      <c r="F570" s="177">
        <v>0</v>
      </c>
      <c r="G570" s="25"/>
      <c r="H570" s="177">
        <v>70936.149999999994</v>
      </c>
      <c r="I570" s="25"/>
      <c r="J570" s="177">
        <v>-272920.95</v>
      </c>
      <c r="K570" s="25">
        <f t="shared" si="8"/>
        <v>-70936.150000000023</v>
      </c>
    </row>
    <row r="571" spans="1:11" ht="15.95" customHeight="1" x14ac:dyDescent="0.2">
      <c r="A571" s="156" t="s">
        <v>994</v>
      </c>
      <c r="B571" s="369" t="s">
        <v>995</v>
      </c>
      <c r="C571" s="370"/>
      <c r="D571" s="370"/>
      <c r="E571" s="177">
        <v>-447.8</v>
      </c>
      <c r="F571" s="177">
        <v>0</v>
      </c>
      <c r="G571" s="25"/>
      <c r="H571" s="177">
        <v>102.76</v>
      </c>
      <c r="I571" s="25"/>
      <c r="J571" s="177">
        <v>-550.55999999999995</v>
      </c>
      <c r="K571" s="25">
        <f t="shared" si="8"/>
        <v>-102.75999999999993</v>
      </c>
    </row>
    <row r="572" spans="1:11" ht="15.95" customHeight="1" x14ac:dyDescent="0.2">
      <c r="A572" s="156" t="s">
        <v>996</v>
      </c>
      <c r="B572" s="369" t="s">
        <v>997</v>
      </c>
      <c r="C572" s="370"/>
      <c r="D572" s="370"/>
      <c r="E572" s="177">
        <v>-68.72</v>
      </c>
      <c r="F572" s="177">
        <v>0</v>
      </c>
      <c r="G572" s="25"/>
      <c r="H572" s="177">
        <v>0</v>
      </c>
      <c r="I572" s="25"/>
      <c r="J572" s="177">
        <v>-68.72</v>
      </c>
      <c r="K572" s="25">
        <f t="shared" si="8"/>
        <v>0</v>
      </c>
    </row>
    <row r="573" spans="1:11" ht="15.95" customHeight="1" x14ac:dyDescent="0.2">
      <c r="A573" s="156" t="s">
        <v>998</v>
      </c>
      <c r="B573" s="369" t="s">
        <v>999</v>
      </c>
      <c r="C573" s="370"/>
      <c r="D573" s="370"/>
      <c r="E573" s="177">
        <v>-1189.55</v>
      </c>
      <c r="F573" s="177">
        <v>0</v>
      </c>
      <c r="G573" s="25"/>
      <c r="H573" s="177">
        <v>0</v>
      </c>
      <c r="I573" s="25"/>
      <c r="J573" s="177">
        <v>-1189.55</v>
      </c>
      <c r="K573" s="25">
        <f t="shared" si="8"/>
        <v>0</v>
      </c>
    </row>
    <row r="574" spans="1:11" ht="15.95" customHeight="1" x14ac:dyDescent="0.2">
      <c r="A574" s="156" t="s">
        <v>1000</v>
      </c>
      <c r="B574" s="369" t="s">
        <v>1001</v>
      </c>
      <c r="C574" s="370"/>
      <c r="D574" s="370"/>
      <c r="E574" s="177">
        <v>-774.09</v>
      </c>
      <c r="F574" s="177">
        <v>0</v>
      </c>
      <c r="G574" s="25"/>
      <c r="H574" s="177">
        <v>0</v>
      </c>
      <c r="I574" s="25"/>
      <c r="J574" s="177">
        <v>-774.09</v>
      </c>
      <c r="K574" s="25">
        <f t="shared" si="8"/>
        <v>0</v>
      </c>
    </row>
    <row r="575" spans="1:11" ht="15.95" customHeight="1" x14ac:dyDescent="0.2">
      <c r="A575" s="156" t="s">
        <v>1002</v>
      </c>
      <c r="B575" s="369" t="s">
        <v>1003</v>
      </c>
      <c r="C575" s="370"/>
      <c r="D575" s="370"/>
      <c r="E575" s="177">
        <v>-360</v>
      </c>
      <c r="F575" s="177">
        <v>0</v>
      </c>
      <c r="G575" s="25"/>
      <c r="H575" s="177">
        <v>0</v>
      </c>
      <c r="I575" s="25"/>
      <c r="J575" s="177">
        <v>-360</v>
      </c>
      <c r="K575" s="25">
        <f t="shared" si="8"/>
        <v>0</v>
      </c>
    </row>
    <row r="576" spans="1:11" ht="15.95" customHeight="1" x14ac:dyDescent="0.2">
      <c r="A576" s="156" t="s">
        <v>1004</v>
      </c>
      <c r="B576" s="369" t="s">
        <v>1005</v>
      </c>
      <c r="C576" s="370"/>
      <c r="D576" s="370"/>
      <c r="E576" s="177">
        <v>-2180.19</v>
      </c>
      <c r="F576" s="177">
        <v>0</v>
      </c>
      <c r="G576" s="25"/>
      <c r="H576" s="177">
        <v>480.73</v>
      </c>
      <c r="I576" s="25"/>
      <c r="J576" s="177">
        <v>-2660.92</v>
      </c>
      <c r="K576" s="25">
        <f t="shared" si="8"/>
        <v>-480.73</v>
      </c>
    </row>
    <row r="577" spans="1:11" ht="15.95" customHeight="1" x14ac:dyDescent="0.2">
      <c r="A577" s="156" t="s">
        <v>1006</v>
      </c>
      <c r="B577" s="369" t="s">
        <v>1007</v>
      </c>
      <c r="C577" s="370"/>
      <c r="D577" s="370"/>
      <c r="E577" s="177">
        <v>-23381.37</v>
      </c>
      <c r="F577" s="177">
        <v>0</v>
      </c>
      <c r="G577" s="25"/>
      <c r="H577" s="177">
        <v>0</v>
      </c>
      <c r="I577" s="25"/>
      <c r="J577" s="177">
        <v>-23381.37</v>
      </c>
      <c r="K577" s="25">
        <f t="shared" si="8"/>
        <v>0</v>
      </c>
    </row>
    <row r="578" spans="1:11" ht="15.95" customHeight="1" x14ac:dyDescent="0.2">
      <c r="A578" s="156" t="s">
        <v>1008</v>
      </c>
      <c r="B578" s="369" t="s">
        <v>1009</v>
      </c>
      <c r="C578" s="370"/>
      <c r="D578" s="370"/>
      <c r="E578" s="177">
        <v>-36.67</v>
      </c>
      <c r="F578" s="177">
        <v>0</v>
      </c>
      <c r="G578" s="25"/>
      <c r="H578" s="177">
        <v>0</v>
      </c>
      <c r="I578" s="25"/>
      <c r="J578" s="177">
        <v>-36.67</v>
      </c>
      <c r="K578" s="25">
        <f t="shared" si="8"/>
        <v>0</v>
      </c>
    </row>
    <row r="579" spans="1:11" ht="15.95" customHeight="1" x14ac:dyDescent="0.2">
      <c r="A579" s="156" t="s">
        <v>1010</v>
      </c>
      <c r="B579" s="369" t="s">
        <v>1011</v>
      </c>
      <c r="C579" s="370"/>
      <c r="D579" s="370"/>
      <c r="E579" s="177">
        <v>-130436.47</v>
      </c>
      <c r="F579" s="177">
        <v>0</v>
      </c>
      <c r="G579" s="25"/>
      <c r="H579" s="177">
        <v>97679.83</v>
      </c>
      <c r="I579" s="25"/>
      <c r="J579" s="177">
        <v>-228116.3</v>
      </c>
      <c r="K579" s="25">
        <f t="shared" si="8"/>
        <v>-97679.829999999987</v>
      </c>
    </row>
    <row r="580" spans="1:11" ht="15.95" customHeight="1" x14ac:dyDescent="0.2">
      <c r="A580" s="156" t="s">
        <v>1012</v>
      </c>
      <c r="B580" s="369" t="s">
        <v>1013</v>
      </c>
      <c r="C580" s="370"/>
      <c r="D580" s="370"/>
      <c r="E580" s="177">
        <v>-90761.279999999999</v>
      </c>
      <c r="F580" s="177">
        <v>0</v>
      </c>
      <c r="G580" s="25"/>
      <c r="H580" s="177">
        <v>43146.84</v>
      </c>
      <c r="I580" s="25"/>
      <c r="J580" s="177">
        <v>-133908.12</v>
      </c>
      <c r="K580" s="25">
        <f t="shared" ref="K580:K643" si="9">J580-E580</f>
        <v>-43146.84</v>
      </c>
    </row>
    <row r="581" spans="1:11" ht="15.95" customHeight="1" x14ac:dyDescent="0.2">
      <c r="A581" s="156" t="s">
        <v>1014</v>
      </c>
      <c r="B581" s="369" t="s">
        <v>1015</v>
      </c>
      <c r="C581" s="370"/>
      <c r="D581" s="370"/>
      <c r="E581" s="177">
        <v>-8820.4599999999991</v>
      </c>
      <c r="F581" s="177">
        <v>0</v>
      </c>
      <c r="G581" s="25"/>
      <c r="H581" s="177">
        <v>3154.18</v>
      </c>
      <c r="I581" s="25"/>
      <c r="J581" s="177">
        <v>-11974.64</v>
      </c>
      <c r="K581" s="25">
        <f t="shared" si="9"/>
        <v>-3154.1800000000003</v>
      </c>
    </row>
    <row r="582" spans="1:11" ht="15.95" customHeight="1" x14ac:dyDescent="0.2">
      <c r="A582" s="156" t="s">
        <v>1016</v>
      </c>
      <c r="B582" s="369" t="s">
        <v>1017</v>
      </c>
      <c r="C582" s="370"/>
      <c r="D582" s="370"/>
      <c r="E582" s="177">
        <v>-670.72</v>
      </c>
      <c r="F582" s="177">
        <v>0</v>
      </c>
      <c r="G582" s="25"/>
      <c r="H582" s="177">
        <v>101.96</v>
      </c>
      <c r="I582" s="25"/>
      <c r="J582" s="177">
        <v>-772.68</v>
      </c>
      <c r="K582" s="25">
        <f t="shared" si="9"/>
        <v>-101.95999999999992</v>
      </c>
    </row>
    <row r="583" spans="1:11" ht="15.95" customHeight="1" x14ac:dyDescent="0.2">
      <c r="A583" s="156" t="s">
        <v>1018</v>
      </c>
      <c r="B583" s="369" t="s">
        <v>1019</v>
      </c>
      <c r="C583" s="370"/>
      <c r="D583" s="370"/>
      <c r="E583" s="177">
        <v>-3221.15</v>
      </c>
      <c r="F583" s="177">
        <v>0</v>
      </c>
      <c r="G583" s="25"/>
      <c r="H583" s="177">
        <v>0</v>
      </c>
      <c r="I583" s="25"/>
      <c r="J583" s="177">
        <v>-3221.15</v>
      </c>
      <c r="K583" s="25">
        <f t="shared" si="9"/>
        <v>0</v>
      </c>
    </row>
    <row r="584" spans="1:11" ht="15.95" customHeight="1" x14ac:dyDescent="0.2">
      <c r="A584" s="156" t="s">
        <v>1020</v>
      </c>
      <c r="B584" s="369" t="s">
        <v>1021</v>
      </c>
      <c r="C584" s="370"/>
      <c r="D584" s="370"/>
      <c r="E584" s="177">
        <v>-200.03</v>
      </c>
      <c r="F584" s="177">
        <v>0</v>
      </c>
      <c r="G584" s="25"/>
      <c r="H584" s="177">
        <v>0</v>
      </c>
      <c r="I584" s="25"/>
      <c r="J584" s="177">
        <v>-200.03</v>
      </c>
      <c r="K584" s="25">
        <f t="shared" si="9"/>
        <v>0</v>
      </c>
    </row>
    <row r="585" spans="1:11" ht="15.95" customHeight="1" x14ac:dyDescent="0.2">
      <c r="A585" s="156" t="s">
        <v>1022</v>
      </c>
      <c r="B585" s="369" t="s">
        <v>1023</v>
      </c>
      <c r="C585" s="370"/>
      <c r="D585" s="370"/>
      <c r="E585" s="177">
        <v>-339.25</v>
      </c>
      <c r="F585" s="177">
        <v>0</v>
      </c>
      <c r="G585" s="25"/>
      <c r="H585" s="177">
        <v>0</v>
      </c>
      <c r="I585" s="25"/>
      <c r="J585" s="177">
        <v>-339.25</v>
      </c>
      <c r="K585" s="25">
        <f t="shared" si="9"/>
        <v>0</v>
      </c>
    </row>
    <row r="586" spans="1:11" ht="15.95" customHeight="1" x14ac:dyDescent="0.2">
      <c r="A586" s="156" t="s">
        <v>1024</v>
      </c>
      <c r="B586" s="369" t="s">
        <v>1025</v>
      </c>
      <c r="C586" s="370"/>
      <c r="D586" s="370"/>
      <c r="E586" s="177">
        <v>-200.03</v>
      </c>
      <c r="F586" s="177">
        <v>0</v>
      </c>
      <c r="G586" s="25"/>
      <c r="H586" s="177">
        <v>0</v>
      </c>
      <c r="I586" s="25"/>
      <c r="J586" s="177">
        <v>-200.03</v>
      </c>
      <c r="K586" s="25">
        <f t="shared" si="9"/>
        <v>0</v>
      </c>
    </row>
    <row r="587" spans="1:11" ht="15.95" customHeight="1" x14ac:dyDescent="0.2">
      <c r="A587" s="156" t="s">
        <v>1026</v>
      </c>
      <c r="B587" s="369" t="s">
        <v>1027</v>
      </c>
      <c r="C587" s="370"/>
      <c r="D587" s="370"/>
      <c r="E587" s="177">
        <v>-508.19</v>
      </c>
      <c r="F587" s="177">
        <v>0</v>
      </c>
      <c r="G587" s="25"/>
      <c r="H587" s="177">
        <v>0</v>
      </c>
      <c r="I587" s="25"/>
      <c r="J587" s="177">
        <v>-508.19</v>
      </c>
      <c r="K587" s="25">
        <f t="shared" si="9"/>
        <v>0</v>
      </c>
    </row>
    <row r="588" spans="1:11" ht="15.95" customHeight="1" x14ac:dyDescent="0.2">
      <c r="A588" s="156" t="s">
        <v>1028</v>
      </c>
      <c r="B588" s="369" t="s">
        <v>1029</v>
      </c>
      <c r="C588" s="370"/>
      <c r="D588" s="370"/>
      <c r="E588" s="177">
        <v>-30882.47</v>
      </c>
      <c r="F588" s="177">
        <v>0</v>
      </c>
      <c r="G588" s="25"/>
      <c r="H588" s="177">
        <v>0</v>
      </c>
      <c r="I588" s="25"/>
      <c r="J588" s="177">
        <v>-30882.47</v>
      </c>
      <c r="K588" s="25">
        <f t="shared" si="9"/>
        <v>0</v>
      </c>
    </row>
    <row r="589" spans="1:11" ht="15.95" customHeight="1" x14ac:dyDescent="0.2">
      <c r="A589" s="156" t="s">
        <v>1030</v>
      </c>
      <c r="B589" s="369" t="s">
        <v>1031</v>
      </c>
      <c r="C589" s="370"/>
      <c r="D589" s="370"/>
      <c r="E589" s="177">
        <v>-2991.81</v>
      </c>
      <c r="F589" s="177">
        <v>0</v>
      </c>
      <c r="G589" s="25"/>
      <c r="H589" s="177">
        <v>3246.92</v>
      </c>
      <c r="I589" s="25"/>
      <c r="J589" s="177">
        <v>-6238.73</v>
      </c>
      <c r="K589" s="25">
        <f t="shared" si="9"/>
        <v>-3246.9199999999996</v>
      </c>
    </row>
    <row r="590" spans="1:11" ht="15.95" customHeight="1" x14ac:dyDescent="0.2">
      <c r="A590" s="156" t="s">
        <v>1032</v>
      </c>
      <c r="B590" s="369" t="s">
        <v>1033</v>
      </c>
      <c r="C590" s="370"/>
      <c r="D590" s="370"/>
      <c r="E590" s="177">
        <v>-585.83000000000004</v>
      </c>
      <c r="F590" s="177">
        <v>0</v>
      </c>
      <c r="G590" s="25"/>
      <c r="H590" s="177">
        <v>0</v>
      </c>
      <c r="I590" s="25"/>
      <c r="J590" s="177">
        <v>-585.83000000000004</v>
      </c>
      <c r="K590" s="25">
        <f t="shared" si="9"/>
        <v>0</v>
      </c>
    </row>
    <row r="591" spans="1:11" ht="15.95" customHeight="1" x14ac:dyDescent="0.2">
      <c r="A591" s="156" t="s">
        <v>1034</v>
      </c>
      <c r="B591" s="369" t="s">
        <v>1035</v>
      </c>
      <c r="C591" s="370"/>
      <c r="D591" s="370"/>
      <c r="E591" s="177">
        <v>-243.31</v>
      </c>
      <c r="F591" s="177">
        <v>0</v>
      </c>
      <c r="G591" s="25"/>
      <c r="H591" s="177">
        <v>0</v>
      </c>
      <c r="I591" s="25"/>
      <c r="J591" s="177">
        <v>-243.31</v>
      </c>
      <c r="K591" s="25">
        <f t="shared" si="9"/>
        <v>0</v>
      </c>
    </row>
    <row r="592" spans="1:11" ht="15.95" customHeight="1" x14ac:dyDescent="0.2">
      <c r="A592" s="156" t="s">
        <v>1036</v>
      </c>
      <c r="B592" s="369" t="s">
        <v>1037</v>
      </c>
      <c r="C592" s="370"/>
      <c r="D592" s="370"/>
      <c r="E592" s="177">
        <v>-48.41</v>
      </c>
      <c r="F592" s="177">
        <v>0</v>
      </c>
      <c r="G592" s="25"/>
      <c r="H592" s="177">
        <v>102.76</v>
      </c>
      <c r="I592" s="25"/>
      <c r="J592" s="177">
        <v>-151.16999999999999</v>
      </c>
      <c r="K592" s="25">
        <f t="shared" si="9"/>
        <v>-102.75999999999999</v>
      </c>
    </row>
    <row r="593" spans="1:11" ht="15.95" customHeight="1" x14ac:dyDescent="0.2">
      <c r="A593" s="156" t="s">
        <v>1038</v>
      </c>
      <c r="B593" s="369" t="s">
        <v>1039</v>
      </c>
      <c r="C593" s="370"/>
      <c r="D593" s="370"/>
      <c r="E593" s="177">
        <v>-16060.29</v>
      </c>
      <c r="F593" s="177">
        <v>0</v>
      </c>
      <c r="G593" s="25"/>
      <c r="H593" s="177">
        <v>701.46</v>
      </c>
      <c r="I593" s="25"/>
      <c r="J593" s="177">
        <v>-16761.75</v>
      </c>
      <c r="K593" s="25">
        <f t="shared" si="9"/>
        <v>-701.45999999999913</v>
      </c>
    </row>
    <row r="594" spans="1:11" ht="15.95" customHeight="1" x14ac:dyDescent="0.2">
      <c r="A594" s="156" t="s">
        <v>1040</v>
      </c>
      <c r="B594" s="369" t="s">
        <v>1041</v>
      </c>
      <c r="C594" s="370"/>
      <c r="D594" s="370"/>
      <c r="E594" s="177">
        <v>-6231.18</v>
      </c>
      <c r="F594" s="177">
        <v>0</v>
      </c>
      <c r="G594" s="25"/>
      <c r="H594" s="177">
        <v>6761.78</v>
      </c>
      <c r="I594" s="25"/>
      <c r="J594" s="177">
        <v>-12992.96</v>
      </c>
      <c r="K594" s="25">
        <f t="shared" si="9"/>
        <v>-6761.7799999999988</v>
      </c>
    </row>
    <row r="595" spans="1:11" ht="15.95" customHeight="1" x14ac:dyDescent="0.2">
      <c r="A595" s="156">
        <v>218</v>
      </c>
      <c r="B595" s="369" t="s">
        <v>1042</v>
      </c>
      <c r="C595" s="370"/>
      <c r="D595" s="370"/>
      <c r="E595" s="177">
        <v>-690174.06</v>
      </c>
      <c r="F595" s="177">
        <v>357664.28</v>
      </c>
      <c r="G595" s="25"/>
      <c r="H595" s="177">
        <v>215357.73</v>
      </c>
      <c r="I595" s="25"/>
      <c r="J595" s="177">
        <v>-547867.51</v>
      </c>
      <c r="K595" s="25">
        <f t="shared" si="9"/>
        <v>142306.55000000005</v>
      </c>
    </row>
    <row r="596" spans="1:11" ht="27.95" customHeight="1" x14ac:dyDescent="0.2">
      <c r="A596" s="158">
        <v>21801</v>
      </c>
      <c r="B596" s="371" t="s">
        <v>1043</v>
      </c>
      <c r="C596" s="372"/>
      <c r="D596" s="372"/>
      <c r="E596" s="178">
        <v>111291.66</v>
      </c>
      <c r="F596" s="178">
        <v>3.06</v>
      </c>
      <c r="G596" s="31"/>
      <c r="H596" s="178">
        <v>35.29</v>
      </c>
      <c r="I596" s="31"/>
      <c r="J596" s="178">
        <v>111259.43</v>
      </c>
      <c r="K596" s="31">
        <f t="shared" si="9"/>
        <v>-32.230000000010477</v>
      </c>
    </row>
    <row r="597" spans="1:11" ht="15.95" customHeight="1" x14ac:dyDescent="0.2">
      <c r="A597" s="156">
        <v>2180102</v>
      </c>
      <c r="B597" s="369" t="s">
        <v>1044</v>
      </c>
      <c r="C597" s="370"/>
      <c r="D597" s="370"/>
      <c r="E597" s="177">
        <v>-91874.99</v>
      </c>
      <c r="F597" s="177">
        <v>3.06</v>
      </c>
      <c r="G597" s="25"/>
      <c r="H597" s="177">
        <v>13.67</v>
      </c>
      <c r="I597" s="25"/>
      <c r="J597" s="177">
        <v>-91885.6</v>
      </c>
      <c r="K597" s="25">
        <f t="shared" si="9"/>
        <v>-10.610000000000582</v>
      </c>
    </row>
    <row r="598" spans="1:11" ht="15.95" customHeight="1" x14ac:dyDescent="0.2">
      <c r="A598" s="156" t="s">
        <v>1045</v>
      </c>
      <c r="B598" s="369" t="s">
        <v>1046</v>
      </c>
      <c r="C598" s="370"/>
      <c r="D598" s="370"/>
      <c r="E598" s="177">
        <v>-91874.99</v>
      </c>
      <c r="F598" s="177">
        <v>3.06</v>
      </c>
      <c r="G598" s="25"/>
      <c r="H598" s="177">
        <v>13.67</v>
      </c>
      <c r="I598" s="25"/>
      <c r="J598" s="177">
        <v>-91885.6</v>
      </c>
      <c r="K598" s="25">
        <f t="shared" si="9"/>
        <v>-10.610000000000582</v>
      </c>
    </row>
    <row r="599" spans="1:11" ht="15.95" customHeight="1" x14ac:dyDescent="0.2">
      <c r="A599" s="156">
        <v>2180103</v>
      </c>
      <c r="B599" s="369" t="s">
        <v>1047</v>
      </c>
      <c r="C599" s="370"/>
      <c r="D599" s="370"/>
      <c r="E599" s="177">
        <v>203166.65</v>
      </c>
      <c r="F599" s="177">
        <v>0</v>
      </c>
      <c r="G599" s="25"/>
      <c r="H599" s="177">
        <v>21.62</v>
      </c>
      <c r="I599" s="25"/>
      <c r="J599" s="177">
        <v>203145.03</v>
      </c>
      <c r="K599" s="25">
        <f t="shared" si="9"/>
        <v>-21.619999999995343</v>
      </c>
    </row>
    <row r="600" spans="1:11" ht="15.95" customHeight="1" x14ac:dyDescent="0.2">
      <c r="A600" s="156" t="s">
        <v>1048</v>
      </c>
      <c r="B600" s="369" t="s">
        <v>1049</v>
      </c>
      <c r="C600" s="370"/>
      <c r="D600" s="370"/>
      <c r="E600" s="177">
        <v>203166.65</v>
      </c>
      <c r="F600" s="177">
        <v>0</v>
      </c>
      <c r="G600" s="25"/>
      <c r="H600" s="177">
        <v>21.62</v>
      </c>
      <c r="I600" s="25"/>
      <c r="J600" s="177">
        <v>203145.03</v>
      </c>
      <c r="K600" s="25">
        <f t="shared" si="9"/>
        <v>-21.619999999995343</v>
      </c>
    </row>
    <row r="601" spans="1:11" ht="15.95" customHeight="1" x14ac:dyDescent="0.2">
      <c r="A601" s="158">
        <v>21802</v>
      </c>
      <c r="B601" s="371" t="s">
        <v>1050</v>
      </c>
      <c r="C601" s="372"/>
      <c r="D601" s="372"/>
      <c r="E601" s="178">
        <v>-801465.72</v>
      </c>
      <c r="F601" s="178">
        <v>357661.22</v>
      </c>
      <c r="G601" s="31"/>
      <c r="H601" s="178">
        <v>215322.44</v>
      </c>
      <c r="I601" s="31"/>
      <c r="J601" s="178">
        <v>-659126.93999999994</v>
      </c>
      <c r="K601" s="31">
        <f t="shared" si="9"/>
        <v>142338.78000000003</v>
      </c>
    </row>
    <row r="602" spans="1:11" ht="15.95" customHeight="1" x14ac:dyDescent="0.2">
      <c r="A602" s="156">
        <v>2180201</v>
      </c>
      <c r="B602" s="369" t="s">
        <v>1051</v>
      </c>
      <c r="C602" s="370"/>
      <c r="D602" s="370"/>
      <c r="E602" s="177">
        <v>-33549.699999999997</v>
      </c>
      <c r="F602" s="177">
        <v>107661.22</v>
      </c>
      <c r="G602" s="25"/>
      <c r="H602" s="177">
        <v>107661.22</v>
      </c>
      <c r="I602" s="25"/>
      <c r="J602" s="177">
        <v>-33549.699999999997</v>
      </c>
      <c r="K602" s="25">
        <f t="shared" si="9"/>
        <v>0</v>
      </c>
    </row>
    <row r="603" spans="1:11" ht="15.95" customHeight="1" x14ac:dyDescent="0.2">
      <c r="A603" s="156" t="s">
        <v>1052</v>
      </c>
      <c r="B603" s="369" t="s">
        <v>1053</v>
      </c>
      <c r="C603" s="370"/>
      <c r="D603" s="370"/>
      <c r="E603" s="177">
        <v>-33549.699999999997</v>
      </c>
      <c r="F603" s="177">
        <v>107661.22</v>
      </c>
      <c r="G603" s="25"/>
      <c r="H603" s="177">
        <v>107661.22</v>
      </c>
      <c r="I603" s="25"/>
      <c r="J603" s="177">
        <v>-33549.699999999997</v>
      </c>
      <c r="K603" s="25">
        <f t="shared" si="9"/>
        <v>0</v>
      </c>
    </row>
    <row r="604" spans="1:11" ht="15.95" customHeight="1" x14ac:dyDescent="0.2">
      <c r="A604" s="156">
        <v>2180202</v>
      </c>
      <c r="B604" s="369" t="s">
        <v>1054</v>
      </c>
      <c r="C604" s="370"/>
      <c r="D604" s="370"/>
      <c r="E604" s="177">
        <v>-253333.33</v>
      </c>
      <c r="F604" s="177">
        <v>250000</v>
      </c>
      <c r="G604" s="25"/>
      <c r="H604" s="177">
        <v>107661.22</v>
      </c>
      <c r="I604" s="25"/>
      <c r="J604" s="177">
        <v>-110994.55</v>
      </c>
      <c r="K604" s="25">
        <f t="shared" si="9"/>
        <v>142338.77999999997</v>
      </c>
    </row>
    <row r="605" spans="1:11" ht="15.95" customHeight="1" x14ac:dyDescent="0.2">
      <c r="A605" s="156" t="s">
        <v>1055</v>
      </c>
      <c r="B605" s="369" t="s">
        <v>1054</v>
      </c>
      <c r="C605" s="370"/>
      <c r="D605" s="370"/>
      <c r="E605" s="177">
        <v>-253333.33</v>
      </c>
      <c r="F605" s="177">
        <v>250000</v>
      </c>
      <c r="G605" s="25"/>
      <c r="H605" s="177">
        <v>107661.22</v>
      </c>
      <c r="I605" s="25"/>
      <c r="J605" s="177">
        <v>-110994.55</v>
      </c>
      <c r="K605" s="25">
        <f t="shared" si="9"/>
        <v>142338.77999999997</v>
      </c>
    </row>
    <row r="606" spans="1:11" ht="15.95" customHeight="1" x14ac:dyDescent="0.2">
      <c r="A606" s="156">
        <v>2180203</v>
      </c>
      <c r="B606" s="369" t="s">
        <v>1056</v>
      </c>
      <c r="C606" s="370"/>
      <c r="D606" s="370"/>
      <c r="E606" s="177">
        <v>-514582.69</v>
      </c>
      <c r="F606" s="177">
        <v>0</v>
      </c>
      <c r="G606" s="25"/>
      <c r="H606" s="177">
        <v>0</v>
      </c>
      <c r="I606" s="25"/>
      <c r="J606" s="177">
        <v>-514582.69</v>
      </c>
      <c r="K606" s="25">
        <f t="shared" si="9"/>
        <v>0</v>
      </c>
    </row>
    <row r="607" spans="1:11" ht="15.95" customHeight="1" x14ac:dyDescent="0.2">
      <c r="A607" s="156" t="s">
        <v>1057</v>
      </c>
      <c r="B607" s="369" t="s">
        <v>1056</v>
      </c>
      <c r="C607" s="370"/>
      <c r="D607" s="370"/>
      <c r="E607" s="177">
        <v>-514582.69</v>
      </c>
      <c r="F607" s="177">
        <v>0</v>
      </c>
      <c r="G607" s="25"/>
      <c r="H607" s="177">
        <v>0</v>
      </c>
      <c r="I607" s="25"/>
      <c r="J607" s="177">
        <v>-514582.69</v>
      </c>
      <c r="K607" s="25">
        <f t="shared" si="9"/>
        <v>0</v>
      </c>
    </row>
    <row r="608" spans="1:11" ht="15.95" customHeight="1" x14ac:dyDescent="0.2">
      <c r="A608" s="158">
        <v>219</v>
      </c>
      <c r="B608" s="371" t="s">
        <v>1058</v>
      </c>
      <c r="C608" s="372"/>
      <c r="D608" s="372"/>
      <c r="E608" s="178">
        <v>-1992543.36</v>
      </c>
      <c r="F608" s="178">
        <v>2753771.72</v>
      </c>
      <c r="G608" s="31"/>
      <c r="H608" s="178">
        <v>3514770.5</v>
      </c>
      <c r="I608" s="31"/>
      <c r="J608" s="178">
        <v>-2753542.14</v>
      </c>
      <c r="K608" s="31">
        <f t="shared" si="9"/>
        <v>-760998.78</v>
      </c>
    </row>
    <row r="609" spans="1:11" ht="15.95" customHeight="1" x14ac:dyDescent="0.2">
      <c r="A609" s="156">
        <v>21901</v>
      </c>
      <c r="B609" s="369" t="s">
        <v>1058</v>
      </c>
      <c r="C609" s="370"/>
      <c r="D609" s="370"/>
      <c r="E609" s="177">
        <v>-1992543.36</v>
      </c>
      <c r="F609" s="177">
        <v>2753771.72</v>
      </c>
      <c r="G609" s="25"/>
      <c r="H609" s="177">
        <v>3514770.5</v>
      </c>
      <c r="I609" s="25"/>
      <c r="J609" s="177">
        <v>-2753542.14</v>
      </c>
      <c r="K609" s="25">
        <f t="shared" si="9"/>
        <v>-760998.78</v>
      </c>
    </row>
    <row r="610" spans="1:11" ht="15.95" customHeight="1" x14ac:dyDescent="0.2">
      <c r="A610" s="156">
        <v>2190101</v>
      </c>
      <c r="B610" s="369" t="s">
        <v>1058</v>
      </c>
      <c r="C610" s="370"/>
      <c r="D610" s="370"/>
      <c r="E610" s="177">
        <v>-1992543.36</v>
      </c>
      <c r="F610" s="177">
        <v>2753771.72</v>
      </c>
      <c r="G610" s="25"/>
      <c r="H610" s="177">
        <v>3514770.5</v>
      </c>
      <c r="I610" s="25"/>
      <c r="J610" s="177">
        <v>-2753542.14</v>
      </c>
      <c r="K610" s="25">
        <f t="shared" si="9"/>
        <v>-760998.78</v>
      </c>
    </row>
    <row r="611" spans="1:11" ht="15.95" customHeight="1" x14ac:dyDescent="0.2">
      <c r="A611" s="156" t="s">
        <v>1059</v>
      </c>
      <c r="B611" s="369" t="s">
        <v>1060</v>
      </c>
      <c r="C611" s="370"/>
      <c r="D611" s="370"/>
      <c r="E611" s="177">
        <v>0</v>
      </c>
      <c r="F611" s="177">
        <v>115963.32</v>
      </c>
      <c r="G611" s="25"/>
      <c r="H611" s="177">
        <v>837344.08</v>
      </c>
      <c r="I611" s="25"/>
      <c r="J611" s="177">
        <v>-721380.76</v>
      </c>
      <c r="K611" s="25">
        <f t="shared" si="9"/>
        <v>-721380.76</v>
      </c>
    </row>
    <row r="612" spans="1:11" ht="15.95" customHeight="1" x14ac:dyDescent="0.2">
      <c r="A612" s="156" t="s">
        <v>1061</v>
      </c>
      <c r="B612" s="369" t="s">
        <v>1062</v>
      </c>
      <c r="C612" s="370"/>
      <c r="D612" s="370"/>
      <c r="E612" s="177">
        <v>-1450180.64</v>
      </c>
      <c r="F612" s="177">
        <v>2007763.33</v>
      </c>
      <c r="G612" s="25"/>
      <c r="H612" s="177">
        <v>1850520.27</v>
      </c>
      <c r="I612" s="25"/>
      <c r="J612" s="177">
        <v>-1292937.58</v>
      </c>
      <c r="K612" s="25">
        <f t="shared" si="9"/>
        <v>157243.05999999982</v>
      </c>
    </row>
    <row r="613" spans="1:11" ht="15.95" customHeight="1" x14ac:dyDescent="0.2">
      <c r="A613" s="156" t="s">
        <v>1063</v>
      </c>
      <c r="B613" s="369" t="s">
        <v>1064</v>
      </c>
      <c r="C613" s="370"/>
      <c r="D613" s="370"/>
      <c r="E613" s="177">
        <v>-387198.23</v>
      </c>
      <c r="F613" s="177">
        <v>459568.86</v>
      </c>
      <c r="G613" s="25"/>
      <c r="H613" s="177">
        <v>417584.94</v>
      </c>
      <c r="I613" s="25"/>
      <c r="J613" s="177">
        <v>-345214.31</v>
      </c>
      <c r="K613" s="25">
        <f t="shared" si="9"/>
        <v>41983.919999999984</v>
      </c>
    </row>
    <row r="614" spans="1:11" ht="15.95" customHeight="1" x14ac:dyDescent="0.2">
      <c r="A614" s="156" t="s">
        <v>1065</v>
      </c>
      <c r="B614" s="369" t="s">
        <v>1066</v>
      </c>
      <c r="C614" s="370"/>
      <c r="D614" s="370"/>
      <c r="E614" s="177">
        <v>-116014.46</v>
      </c>
      <c r="F614" s="177">
        <v>131613.21</v>
      </c>
      <c r="G614" s="25"/>
      <c r="H614" s="177">
        <v>119033.69</v>
      </c>
      <c r="I614" s="25"/>
      <c r="J614" s="177">
        <v>-103434.94</v>
      </c>
      <c r="K614" s="25">
        <f t="shared" si="9"/>
        <v>12579.520000000004</v>
      </c>
    </row>
    <row r="615" spans="1:11" ht="15.95" customHeight="1" x14ac:dyDescent="0.2">
      <c r="A615" s="156" t="s">
        <v>1067</v>
      </c>
      <c r="B615" s="369" t="s">
        <v>1068</v>
      </c>
      <c r="C615" s="370"/>
      <c r="D615" s="370"/>
      <c r="E615" s="177">
        <v>-39150.03</v>
      </c>
      <c r="F615" s="177">
        <v>8556.73</v>
      </c>
      <c r="G615" s="25"/>
      <c r="H615" s="177">
        <v>9662.1299999999992</v>
      </c>
      <c r="I615" s="25"/>
      <c r="J615" s="177">
        <v>-40255.43</v>
      </c>
      <c r="K615" s="25">
        <f t="shared" si="9"/>
        <v>-1105.4000000000015</v>
      </c>
    </row>
    <row r="616" spans="1:11" ht="15.95" customHeight="1" x14ac:dyDescent="0.2">
      <c r="A616" s="156" t="s">
        <v>1069</v>
      </c>
      <c r="B616" s="369" t="s">
        <v>1070</v>
      </c>
      <c r="C616" s="370"/>
      <c r="D616" s="370"/>
      <c r="E616" s="177">
        <v>0</v>
      </c>
      <c r="F616" s="177">
        <v>23319.25</v>
      </c>
      <c r="G616" s="25"/>
      <c r="H616" s="177">
        <v>215927.91</v>
      </c>
      <c r="I616" s="25"/>
      <c r="J616" s="177">
        <v>-192608.66</v>
      </c>
      <c r="K616" s="25">
        <f t="shared" si="9"/>
        <v>-192608.66</v>
      </c>
    </row>
    <row r="617" spans="1:11" ht="15.95" customHeight="1" x14ac:dyDescent="0.2">
      <c r="A617" s="156" t="s">
        <v>1071</v>
      </c>
      <c r="B617" s="369" t="s">
        <v>1072</v>
      </c>
      <c r="C617" s="370"/>
      <c r="D617" s="370"/>
      <c r="E617" s="177">
        <v>0</v>
      </c>
      <c r="F617" s="177">
        <v>6987.02</v>
      </c>
      <c r="G617" s="25"/>
      <c r="H617" s="177">
        <v>64697.48</v>
      </c>
      <c r="I617" s="25"/>
      <c r="J617" s="177">
        <v>-57710.46</v>
      </c>
      <c r="K617" s="25">
        <f t="shared" si="9"/>
        <v>-57710.46</v>
      </c>
    </row>
    <row r="618" spans="1:11" ht="15.95" customHeight="1" x14ac:dyDescent="0.2">
      <c r="A618" s="156">
        <v>22</v>
      </c>
      <c r="B618" s="369" t="s">
        <v>1073</v>
      </c>
      <c r="C618" s="370"/>
      <c r="D618" s="370"/>
      <c r="E618" s="177">
        <v>-56227752.259999998</v>
      </c>
      <c r="F618" s="177">
        <v>29886892.449999999</v>
      </c>
      <c r="G618" s="25"/>
      <c r="H618" s="177">
        <v>78699602.640000001</v>
      </c>
      <c r="I618" s="25"/>
      <c r="J618" s="177">
        <v>-105040462.45</v>
      </c>
      <c r="K618" s="25">
        <f t="shared" si="9"/>
        <v>-48812710.190000005</v>
      </c>
    </row>
    <row r="619" spans="1:11" ht="15.95" customHeight="1" x14ac:dyDescent="0.2">
      <c r="A619" s="158">
        <v>224</v>
      </c>
      <c r="B619" s="371" t="s">
        <v>1074</v>
      </c>
      <c r="C619" s="372"/>
      <c r="D619" s="372"/>
      <c r="E619" s="178">
        <v>-3079556.2</v>
      </c>
      <c r="F619" s="178">
        <v>691226.55</v>
      </c>
      <c r="G619" s="31"/>
      <c r="H619" s="178">
        <v>152027.64000000001</v>
      </c>
      <c r="I619" s="31"/>
      <c r="J619" s="178">
        <v>-2540357.29</v>
      </c>
      <c r="K619" s="31">
        <f t="shared" si="9"/>
        <v>539198.91000000015</v>
      </c>
    </row>
    <row r="620" spans="1:11" ht="15.95" customHeight="1" x14ac:dyDescent="0.2">
      <c r="A620" s="156">
        <v>22401</v>
      </c>
      <c r="B620" s="369" t="s">
        <v>1075</v>
      </c>
      <c r="C620" s="370"/>
      <c r="D620" s="370"/>
      <c r="E620" s="177">
        <v>-3079556.2</v>
      </c>
      <c r="F620" s="177">
        <v>691226.55</v>
      </c>
      <c r="G620" s="25"/>
      <c r="H620" s="177">
        <v>152027.64000000001</v>
      </c>
      <c r="I620" s="25"/>
      <c r="J620" s="177">
        <v>-2540357.29</v>
      </c>
      <c r="K620" s="25">
        <f t="shared" si="9"/>
        <v>539198.91000000015</v>
      </c>
    </row>
    <row r="621" spans="1:11" ht="15.95" customHeight="1" x14ac:dyDescent="0.2">
      <c r="A621" s="156">
        <v>2240101</v>
      </c>
      <c r="B621" s="369" t="s">
        <v>1075</v>
      </c>
      <c r="C621" s="370"/>
      <c r="D621" s="370"/>
      <c r="E621" s="177">
        <v>-3079556.2</v>
      </c>
      <c r="F621" s="177">
        <v>691226.55</v>
      </c>
      <c r="G621" s="25"/>
      <c r="H621" s="177">
        <v>152027.64000000001</v>
      </c>
      <c r="I621" s="25"/>
      <c r="J621" s="177">
        <v>-2540357.29</v>
      </c>
      <c r="K621" s="25">
        <f t="shared" si="9"/>
        <v>539198.91000000015</v>
      </c>
    </row>
    <row r="622" spans="1:11" ht="15.95" customHeight="1" x14ac:dyDescent="0.2">
      <c r="A622" s="156" t="s">
        <v>1076</v>
      </c>
      <c r="B622" s="369" t="s">
        <v>634</v>
      </c>
      <c r="C622" s="370"/>
      <c r="D622" s="370"/>
      <c r="E622" s="177">
        <v>-2981723.38</v>
      </c>
      <c r="F622" s="177">
        <v>629815.68000000005</v>
      </c>
      <c r="G622" s="25"/>
      <c r="H622" s="177">
        <v>152027.64000000001</v>
      </c>
      <c r="I622" s="25"/>
      <c r="J622" s="177">
        <v>-2503935.34</v>
      </c>
      <c r="K622" s="25">
        <f t="shared" si="9"/>
        <v>477788.04000000004</v>
      </c>
    </row>
    <row r="623" spans="1:11" ht="15.95" customHeight="1" x14ac:dyDescent="0.2">
      <c r="A623" s="156" t="s">
        <v>1077</v>
      </c>
      <c r="B623" s="369" t="s">
        <v>652</v>
      </c>
      <c r="C623" s="370"/>
      <c r="D623" s="370"/>
      <c r="E623" s="177">
        <v>-97832.82</v>
      </c>
      <c r="F623" s="177">
        <v>61410.87</v>
      </c>
      <c r="G623" s="25"/>
      <c r="H623" s="177">
        <v>0</v>
      </c>
      <c r="I623" s="25"/>
      <c r="J623" s="177">
        <v>-36421.949999999997</v>
      </c>
      <c r="K623" s="25">
        <f t="shared" si="9"/>
        <v>61410.87000000001</v>
      </c>
    </row>
    <row r="624" spans="1:11" ht="15.95" customHeight="1" x14ac:dyDescent="0.2">
      <c r="A624" s="158">
        <v>225</v>
      </c>
      <c r="B624" s="371" t="s">
        <v>1078</v>
      </c>
      <c r="C624" s="372"/>
      <c r="D624" s="372"/>
      <c r="E624" s="178">
        <v>-53148196.060000002</v>
      </c>
      <c r="F624" s="178">
        <v>0</v>
      </c>
      <c r="G624" s="31"/>
      <c r="H624" s="178">
        <v>1214587.2</v>
      </c>
      <c r="I624" s="31"/>
      <c r="J624" s="178">
        <v>-54362783.259999998</v>
      </c>
      <c r="K624" s="31">
        <f t="shared" si="9"/>
        <v>-1214587.1999999955</v>
      </c>
    </row>
    <row r="625" spans="1:11" ht="15.95" customHeight="1" x14ac:dyDescent="0.2">
      <c r="A625" s="156">
        <v>22501</v>
      </c>
      <c r="B625" s="369" t="s">
        <v>1079</v>
      </c>
      <c r="C625" s="370"/>
      <c r="D625" s="370"/>
      <c r="E625" s="177">
        <v>-53148196.060000002</v>
      </c>
      <c r="F625" s="177">
        <v>0</v>
      </c>
      <c r="G625" s="25"/>
      <c r="H625" s="177">
        <v>1214587.2</v>
      </c>
      <c r="I625" s="25"/>
      <c r="J625" s="177">
        <v>-54362783.259999998</v>
      </c>
      <c r="K625" s="25">
        <f t="shared" si="9"/>
        <v>-1214587.1999999955</v>
      </c>
    </row>
    <row r="626" spans="1:11" ht="15.95" customHeight="1" x14ac:dyDescent="0.2">
      <c r="A626" s="156">
        <v>2250101</v>
      </c>
      <c r="B626" s="369" t="s">
        <v>1079</v>
      </c>
      <c r="C626" s="370"/>
      <c r="D626" s="370"/>
      <c r="E626" s="177">
        <v>-53148196.060000002</v>
      </c>
      <c r="F626" s="177">
        <v>0</v>
      </c>
      <c r="G626" s="25"/>
      <c r="H626" s="177">
        <v>1214587.2</v>
      </c>
      <c r="I626" s="25"/>
      <c r="J626" s="177">
        <v>-54362783.259999998</v>
      </c>
      <c r="K626" s="25">
        <f t="shared" si="9"/>
        <v>-1214587.1999999955</v>
      </c>
    </row>
    <row r="627" spans="1:11" ht="15.95" customHeight="1" x14ac:dyDescent="0.2">
      <c r="A627" s="156" t="s">
        <v>1080</v>
      </c>
      <c r="B627" s="369" t="s">
        <v>1081</v>
      </c>
      <c r="C627" s="370"/>
      <c r="D627" s="370"/>
      <c r="E627" s="177">
        <v>-53147063.32</v>
      </c>
      <c r="F627" s="177">
        <v>0</v>
      </c>
      <c r="G627" s="25"/>
      <c r="H627" s="177">
        <v>1214561.32</v>
      </c>
      <c r="I627" s="25"/>
      <c r="J627" s="177">
        <v>-54361624.640000001</v>
      </c>
      <c r="K627" s="25">
        <f t="shared" si="9"/>
        <v>-1214561.3200000003</v>
      </c>
    </row>
    <row r="628" spans="1:11" ht="15.95" customHeight="1" x14ac:dyDescent="0.2">
      <c r="A628" s="156" t="s">
        <v>1082</v>
      </c>
      <c r="B628" s="369" t="s">
        <v>1083</v>
      </c>
      <c r="C628" s="370"/>
      <c r="D628" s="370"/>
      <c r="E628" s="177">
        <v>-1132.74</v>
      </c>
      <c r="F628" s="177">
        <v>0</v>
      </c>
      <c r="G628" s="25"/>
      <c r="H628" s="177">
        <v>25.88</v>
      </c>
      <c r="I628" s="25"/>
      <c r="J628" s="177">
        <v>-1158.6199999999999</v>
      </c>
      <c r="K628" s="25">
        <f t="shared" si="9"/>
        <v>-25.879999999999882</v>
      </c>
    </row>
    <row r="629" spans="1:11" ht="15.95" customHeight="1" x14ac:dyDescent="0.2">
      <c r="A629" s="158">
        <v>226</v>
      </c>
      <c r="B629" s="371" t="s">
        <v>1084</v>
      </c>
      <c r="C629" s="372"/>
      <c r="D629" s="372"/>
      <c r="E629" s="178">
        <v>0</v>
      </c>
      <c r="F629" s="178">
        <v>29195665.899999999</v>
      </c>
      <c r="G629" s="31"/>
      <c r="H629" s="178">
        <v>77332987.799999997</v>
      </c>
      <c r="I629" s="31"/>
      <c r="J629" s="178">
        <v>-48137321.899999999</v>
      </c>
      <c r="K629" s="31">
        <f t="shared" si="9"/>
        <v>-48137321.899999999</v>
      </c>
    </row>
    <row r="630" spans="1:11" ht="15.95" customHeight="1" x14ac:dyDescent="0.2">
      <c r="A630" s="156">
        <v>22601</v>
      </c>
      <c r="B630" s="369" t="s">
        <v>1085</v>
      </c>
      <c r="C630" s="370"/>
      <c r="D630" s="370"/>
      <c r="E630" s="177">
        <v>0</v>
      </c>
      <c r="F630" s="177">
        <v>29195665.899999999</v>
      </c>
      <c r="G630" s="25"/>
      <c r="H630" s="177">
        <v>77332987.799999997</v>
      </c>
      <c r="I630" s="25"/>
      <c r="J630" s="177">
        <v>-48137321.899999999</v>
      </c>
      <c r="K630" s="25">
        <f t="shared" si="9"/>
        <v>-48137321.899999999</v>
      </c>
    </row>
    <row r="631" spans="1:11" ht="15.95" customHeight="1" x14ac:dyDescent="0.2">
      <c r="A631" s="156">
        <v>2260101</v>
      </c>
      <c r="B631" s="369" t="s">
        <v>1085</v>
      </c>
      <c r="C631" s="370"/>
      <c r="D631" s="370"/>
      <c r="E631" s="177">
        <v>0</v>
      </c>
      <c r="F631" s="177">
        <v>29195665.899999999</v>
      </c>
      <c r="G631" s="25"/>
      <c r="H631" s="177">
        <v>77332987.799999997</v>
      </c>
      <c r="I631" s="25"/>
      <c r="J631" s="177">
        <v>-48137321.899999999</v>
      </c>
      <c r="K631" s="25">
        <f t="shared" si="9"/>
        <v>-48137321.899999999</v>
      </c>
    </row>
    <row r="632" spans="1:11" ht="15.95" customHeight="1" x14ac:dyDescent="0.2">
      <c r="A632" s="156" t="s">
        <v>1086</v>
      </c>
      <c r="B632" s="369" t="s">
        <v>1087</v>
      </c>
      <c r="C632" s="370"/>
      <c r="D632" s="370"/>
      <c r="E632" s="177">
        <v>0</v>
      </c>
      <c r="F632" s="177">
        <v>26651797.66</v>
      </c>
      <c r="G632" s="25"/>
      <c r="H632" s="177">
        <v>39748241</v>
      </c>
      <c r="I632" s="25"/>
      <c r="J632" s="177">
        <v>-13096443.34</v>
      </c>
      <c r="K632" s="25">
        <f t="shared" si="9"/>
        <v>-13096443.34</v>
      </c>
    </row>
    <row r="633" spans="1:11" ht="15.95" customHeight="1" x14ac:dyDescent="0.2">
      <c r="A633" s="156" t="s">
        <v>1088</v>
      </c>
      <c r="B633" s="369" t="s">
        <v>1089</v>
      </c>
      <c r="C633" s="370"/>
      <c r="D633" s="370"/>
      <c r="E633" s="177">
        <v>0</v>
      </c>
      <c r="F633" s="177">
        <v>0</v>
      </c>
      <c r="G633" s="25"/>
      <c r="H633" s="177">
        <v>11153597</v>
      </c>
      <c r="I633" s="25"/>
      <c r="J633" s="177">
        <v>-11153597</v>
      </c>
      <c r="K633" s="25">
        <f t="shared" si="9"/>
        <v>-11153597</v>
      </c>
    </row>
    <row r="634" spans="1:11" ht="15.95" customHeight="1" x14ac:dyDescent="0.2">
      <c r="A634" s="156" t="s">
        <v>1090</v>
      </c>
      <c r="B634" s="369" t="s">
        <v>654</v>
      </c>
      <c r="C634" s="370"/>
      <c r="D634" s="370"/>
      <c r="E634" s="177">
        <v>0</v>
      </c>
      <c r="F634" s="177">
        <v>2543868.2400000002</v>
      </c>
      <c r="G634" s="25"/>
      <c r="H634" s="177">
        <v>26431149.800000001</v>
      </c>
      <c r="I634" s="25"/>
      <c r="J634" s="177">
        <v>-23887281.559999999</v>
      </c>
      <c r="K634" s="25">
        <f t="shared" si="9"/>
        <v>-23887281.559999999</v>
      </c>
    </row>
    <row r="635" spans="1:11" ht="15.95" customHeight="1" x14ac:dyDescent="0.2">
      <c r="A635" s="158">
        <v>23</v>
      </c>
      <c r="B635" s="371" t="s">
        <v>1091</v>
      </c>
      <c r="C635" s="372"/>
      <c r="D635" s="372"/>
      <c r="E635" s="178">
        <v>-243441255.75999999</v>
      </c>
      <c r="F635" s="178">
        <v>95383170.650000006</v>
      </c>
      <c r="G635" s="31"/>
      <c r="H635" s="178">
        <v>40366493.780000001</v>
      </c>
      <c r="I635" s="31"/>
      <c r="J635" s="178">
        <v>-188424578.88999999</v>
      </c>
      <c r="K635" s="31">
        <f t="shared" si="9"/>
        <v>55016676.870000005</v>
      </c>
    </row>
    <row r="636" spans="1:11" ht="15.95" customHeight="1" x14ac:dyDescent="0.2">
      <c r="A636" s="156">
        <v>231</v>
      </c>
      <c r="B636" s="369" t="s">
        <v>1092</v>
      </c>
      <c r="C636" s="370"/>
      <c r="D636" s="370"/>
      <c r="E636" s="177">
        <v>-273318713.10000002</v>
      </c>
      <c r="F636" s="177">
        <v>0</v>
      </c>
      <c r="G636" s="25"/>
      <c r="H636" s="177">
        <v>0</v>
      </c>
      <c r="I636" s="25"/>
      <c r="J636" s="177">
        <v>-273318713.10000002</v>
      </c>
      <c r="K636" s="25">
        <f t="shared" si="9"/>
        <v>0</v>
      </c>
    </row>
    <row r="637" spans="1:11" ht="15.95" customHeight="1" x14ac:dyDescent="0.2">
      <c r="A637" s="156">
        <v>23101</v>
      </c>
      <c r="B637" s="369" t="s">
        <v>1092</v>
      </c>
      <c r="C637" s="370"/>
      <c r="D637" s="370"/>
      <c r="E637" s="177">
        <v>-273318713.10000002</v>
      </c>
      <c r="F637" s="177">
        <v>0</v>
      </c>
      <c r="G637" s="25"/>
      <c r="H637" s="177">
        <v>0</v>
      </c>
      <c r="I637" s="25"/>
      <c r="J637" s="177">
        <v>-273318713.10000002</v>
      </c>
      <c r="K637" s="25">
        <f t="shared" si="9"/>
        <v>0</v>
      </c>
    </row>
    <row r="638" spans="1:11" ht="15.95" customHeight="1" x14ac:dyDescent="0.2">
      <c r="A638" s="156">
        <v>2310101</v>
      </c>
      <c r="B638" s="369" t="s">
        <v>1092</v>
      </c>
      <c r="C638" s="370"/>
      <c r="D638" s="370"/>
      <c r="E638" s="177">
        <v>-273318713.10000002</v>
      </c>
      <c r="F638" s="177">
        <v>0</v>
      </c>
      <c r="G638" s="25"/>
      <c r="H638" s="177">
        <v>0</v>
      </c>
      <c r="I638" s="25"/>
      <c r="J638" s="177">
        <v>-273318713.10000002</v>
      </c>
      <c r="K638" s="25">
        <f t="shared" si="9"/>
        <v>0</v>
      </c>
    </row>
    <row r="639" spans="1:11" ht="15.95" customHeight="1" x14ac:dyDescent="0.2">
      <c r="A639" s="156" t="s">
        <v>1093</v>
      </c>
      <c r="B639" s="369" t="s">
        <v>1081</v>
      </c>
      <c r="C639" s="370"/>
      <c r="D639" s="370"/>
      <c r="E639" s="177">
        <v>-273137529.44</v>
      </c>
      <c r="F639" s="177">
        <v>0</v>
      </c>
      <c r="G639" s="25"/>
      <c r="H639" s="177">
        <v>0</v>
      </c>
      <c r="I639" s="25"/>
      <c r="J639" s="177">
        <v>-273137529.44</v>
      </c>
      <c r="K639" s="25">
        <f t="shared" si="9"/>
        <v>0</v>
      </c>
    </row>
    <row r="640" spans="1:11" ht="15.95" customHeight="1" x14ac:dyDescent="0.2">
      <c r="A640" s="156" t="s">
        <v>1094</v>
      </c>
      <c r="B640" s="369" t="s">
        <v>1083</v>
      </c>
      <c r="C640" s="370"/>
      <c r="D640" s="370"/>
      <c r="E640" s="177">
        <v>-181183.66</v>
      </c>
      <c r="F640" s="177">
        <v>0</v>
      </c>
      <c r="G640" s="25"/>
      <c r="H640" s="177">
        <v>0</v>
      </c>
      <c r="I640" s="25"/>
      <c r="J640" s="177">
        <v>-181183.66</v>
      </c>
      <c r="K640" s="25">
        <f t="shared" si="9"/>
        <v>0</v>
      </c>
    </row>
    <row r="641" spans="1:11" ht="15.95" customHeight="1" x14ac:dyDescent="0.2">
      <c r="A641" s="156">
        <v>234</v>
      </c>
      <c r="B641" s="369" t="s">
        <v>1095</v>
      </c>
      <c r="C641" s="370"/>
      <c r="D641" s="370"/>
      <c r="E641" s="177">
        <v>0</v>
      </c>
      <c r="F641" s="177">
        <v>11153597</v>
      </c>
      <c r="G641" s="25"/>
      <c r="H641" s="177">
        <v>0</v>
      </c>
      <c r="I641" s="25"/>
      <c r="J641" s="177">
        <v>11153597</v>
      </c>
      <c r="K641" s="25">
        <f t="shared" si="9"/>
        <v>11153597</v>
      </c>
    </row>
    <row r="642" spans="1:11" ht="15.95" customHeight="1" x14ac:dyDescent="0.2">
      <c r="A642" s="156">
        <v>23401</v>
      </c>
      <c r="B642" s="369" t="s">
        <v>1096</v>
      </c>
      <c r="C642" s="370"/>
      <c r="D642" s="370"/>
      <c r="E642" s="177">
        <v>0</v>
      </c>
      <c r="F642" s="177">
        <v>11153597</v>
      </c>
      <c r="G642" s="25"/>
      <c r="H642" s="177">
        <v>0</v>
      </c>
      <c r="I642" s="25"/>
      <c r="J642" s="177">
        <v>11153597</v>
      </c>
      <c r="K642" s="25">
        <f t="shared" si="9"/>
        <v>11153597</v>
      </c>
    </row>
    <row r="643" spans="1:11" ht="15.95" customHeight="1" x14ac:dyDescent="0.2">
      <c r="A643" s="156">
        <v>2340101</v>
      </c>
      <c r="B643" s="369" t="s">
        <v>1096</v>
      </c>
      <c r="C643" s="370"/>
      <c r="D643" s="370"/>
      <c r="E643" s="177">
        <v>0</v>
      </c>
      <c r="F643" s="177">
        <v>11153597</v>
      </c>
      <c r="G643" s="25"/>
      <c r="H643" s="177">
        <v>0</v>
      </c>
      <c r="I643" s="25"/>
      <c r="J643" s="177">
        <v>11153597</v>
      </c>
      <c r="K643" s="25">
        <f t="shared" si="9"/>
        <v>11153597</v>
      </c>
    </row>
    <row r="644" spans="1:11" ht="15.95" customHeight="1" x14ac:dyDescent="0.2">
      <c r="A644" s="156" t="s">
        <v>1097</v>
      </c>
      <c r="B644" s="369" t="s">
        <v>1098</v>
      </c>
      <c r="C644" s="370"/>
      <c r="D644" s="370"/>
      <c r="E644" s="177">
        <v>0</v>
      </c>
      <c r="F644" s="177">
        <v>11153597</v>
      </c>
      <c r="G644" s="25"/>
      <c r="H644" s="177">
        <v>0</v>
      </c>
      <c r="I644" s="25"/>
      <c r="J644" s="177">
        <v>11153597</v>
      </c>
      <c r="K644" s="25">
        <f t="shared" ref="K644:K707" si="10">J644-E644</f>
        <v>11153597</v>
      </c>
    </row>
    <row r="645" spans="1:11" ht="15.95" customHeight="1" x14ac:dyDescent="0.2">
      <c r="A645" s="156">
        <v>237</v>
      </c>
      <c r="B645" s="369" t="s">
        <v>1099</v>
      </c>
      <c r="C645" s="370"/>
      <c r="D645" s="370"/>
      <c r="E645" s="177">
        <v>-1461090.36</v>
      </c>
      <c r="F645" s="177">
        <v>0</v>
      </c>
      <c r="G645" s="25"/>
      <c r="H645" s="177">
        <v>33390.07</v>
      </c>
      <c r="I645" s="25"/>
      <c r="J645" s="177">
        <v>-1494480.43</v>
      </c>
      <c r="K645" s="25">
        <f t="shared" si="10"/>
        <v>-33390.069999999832</v>
      </c>
    </row>
    <row r="646" spans="1:11" ht="15.95" customHeight="1" x14ac:dyDescent="0.2">
      <c r="A646" s="156">
        <v>23701</v>
      </c>
      <c r="B646" s="369" t="s">
        <v>1100</v>
      </c>
      <c r="C646" s="370"/>
      <c r="D646" s="370"/>
      <c r="E646" s="177">
        <v>-1461090.36</v>
      </c>
      <c r="F646" s="177">
        <v>0</v>
      </c>
      <c r="G646" s="25"/>
      <c r="H646" s="177">
        <v>33390.07</v>
      </c>
      <c r="I646" s="25"/>
      <c r="J646" s="177">
        <v>-1494480.43</v>
      </c>
      <c r="K646" s="25">
        <f t="shared" si="10"/>
        <v>-33390.069999999832</v>
      </c>
    </row>
    <row r="647" spans="1:11" ht="15.95" customHeight="1" x14ac:dyDescent="0.2">
      <c r="A647" s="156">
        <v>2370101</v>
      </c>
      <c r="B647" s="369" t="s">
        <v>1100</v>
      </c>
      <c r="C647" s="370"/>
      <c r="D647" s="370"/>
      <c r="E647" s="177">
        <v>-1461090.36</v>
      </c>
      <c r="F647" s="177">
        <v>0</v>
      </c>
      <c r="G647" s="25"/>
      <c r="H647" s="177">
        <v>33390.07</v>
      </c>
      <c r="I647" s="25"/>
      <c r="J647" s="177">
        <v>-1494480.43</v>
      </c>
      <c r="K647" s="25">
        <f t="shared" si="10"/>
        <v>-33390.069999999832</v>
      </c>
    </row>
    <row r="648" spans="1:11" ht="15.95" customHeight="1" x14ac:dyDescent="0.2">
      <c r="A648" s="156" t="s">
        <v>1101</v>
      </c>
      <c r="B648" s="369" t="s">
        <v>1102</v>
      </c>
      <c r="C648" s="370"/>
      <c r="D648" s="370"/>
      <c r="E648" s="177">
        <v>-1461090.36</v>
      </c>
      <c r="F648" s="177">
        <v>0</v>
      </c>
      <c r="G648" s="25"/>
      <c r="H648" s="177">
        <v>33390.07</v>
      </c>
      <c r="I648" s="25"/>
      <c r="J648" s="177">
        <v>-1494480.43</v>
      </c>
      <c r="K648" s="25">
        <f t="shared" si="10"/>
        <v>-33390.069999999832</v>
      </c>
    </row>
    <row r="649" spans="1:11" ht="15.95" customHeight="1" x14ac:dyDescent="0.2">
      <c r="A649" s="156">
        <v>238</v>
      </c>
      <c r="B649" s="369" t="s">
        <v>1103</v>
      </c>
      <c r="C649" s="370"/>
      <c r="D649" s="370"/>
      <c r="E649" s="177">
        <v>-8546606.6600000001</v>
      </c>
      <c r="F649" s="177">
        <v>0</v>
      </c>
      <c r="G649" s="25"/>
      <c r="H649" s="177">
        <v>0</v>
      </c>
      <c r="I649" s="25"/>
      <c r="J649" s="177">
        <v>-8546606.6600000001</v>
      </c>
      <c r="K649" s="25">
        <f t="shared" si="10"/>
        <v>0</v>
      </c>
    </row>
    <row r="650" spans="1:11" ht="27.95" customHeight="1" x14ac:dyDescent="0.2">
      <c r="A650" s="156">
        <v>23801</v>
      </c>
      <c r="B650" s="369" t="s">
        <v>1103</v>
      </c>
      <c r="C650" s="370"/>
      <c r="D650" s="370"/>
      <c r="E650" s="177">
        <v>-8546606.6600000001</v>
      </c>
      <c r="F650" s="177">
        <v>0</v>
      </c>
      <c r="G650" s="25"/>
      <c r="H650" s="177">
        <v>0</v>
      </c>
      <c r="I650" s="25"/>
      <c r="J650" s="177">
        <v>-8546606.6600000001</v>
      </c>
      <c r="K650" s="25">
        <f t="shared" si="10"/>
        <v>0</v>
      </c>
    </row>
    <row r="651" spans="1:11" ht="15.95" customHeight="1" x14ac:dyDescent="0.2">
      <c r="A651" s="156">
        <v>2380101</v>
      </c>
      <c r="B651" s="369" t="s">
        <v>1103</v>
      </c>
      <c r="C651" s="370"/>
      <c r="D651" s="370"/>
      <c r="E651" s="177">
        <v>-8546606.6600000001</v>
      </c>
      <c r="F651" s="177">
        <v>0</v>
      </c>
      <c r="G651" s="25"/>
      <c r="H651" s="177">
        <v>0</v>
      </c>
      <c r="I651" s="25"/>
      <c r="J651" s="177">
        <v>-8546606.6600000001</v>
      </c>
      <c r="K651" s="25">
        <f t="shared" si="10"/>
        <v>0</v>
      </c>
    </row>
    <row r="652" spans="1:11" ht="15.95" customHeight="1" x14ac:dyDescent="0.2">
      <c r="A652" s="156" t="s">
        <v>1104</v>
      </c>
      <c r="B652" s="369" t="s">
        <v>1081</v>
      </c>
      <c r="C652" s="370"/>
      <c r="D652" s="370"/>
      <c r="E652" s="177">
        <v>-8546606.6600000001</v>
      </c>
      <c r="F652" s="177">
        <v>0</v>
      </c>
      <c r="G652" s="25"/>
      <c r="H652" s="177">
        <v>0</v>
      </c>
      <c r="I652" s="25"/>
      <c r="J652" s="177">
        <v>-8546606.6600000001</v>
      </c>
      <c r="K652" s="25">
        <f t="shared" si="10"/>
        <v>0</v>
      </c>
    </row>
    <row r="653" spans="1:11" ht="15.95" customHeight="1" x14ac:dyDescent="0.2">
      <c r="A653" s="156">
        <v>239</v>
      </c>
      <c r="B653" s="369" t="s">
        <v>1105</v>
      </c>
      <c r="C653" s="370"/>
      <c r="D653" s="370"/>
      <c r="E653" s="177">
        <v>39885154.359999999</v>
      </c>
      <c r="F653" s="177">
        <v>84229573.650000006</v>
      </c>
      <c r="G653" s="25"/>
      <c r="H653" s="177">
        <v>40333103.710000001</v>
      </c>
      <c r="I653" s="25"/>
      <c r="J653" s="177">
        <v>83781624.299999997</v>
      </c>
      <c r="K653" s="25">
        <f t="shared" si="10"/>
        <v>43896469.939999998</v>
      </c>
    </row>
    <row r="654" spans="1:11" ht="15.95" customHeight="1" x14ac:dyDescent="0.2">
      <c r="A654" s="156">
        <v>23901</v>
      </c>
      <c r="B654" s="369" t="s">
        <v>1105</v>
      </c>
      <c r="C654" s="370"/>
      <c r="D654" s="370"/>
      <c r="E654" s="177">
        <v>39885154.359999999</v>
      </c>
      <c r="F654" s="177">
        <v>84229573.650000006</v>
      </c>
      <c r="G654" s="25"/>
      <c r="H654" s="177">
        <v>40333103.710000001</v>
      </c>
      <c r="I654" s="25"/>
      <c r="J654" s="177">
        <v>83781624.299999997</v>
      </c>
      <c r="K654" s="25">
        <f t="shared" si="10"/>
        <v>43896469.939999998</v>
      </c>
    </row>
    <row r="655" spans="1:11" ht="15.95" customHeight="1" x14ac:dyDescent="0.2">
      <c r="A655" s="156">
        <v>2390101</v>
      </c>
      <c r="B655" s="369" t="s">
        <v>1106</v>
      </c>
      <c r="C655" s="370"/>
      <c r="D655" s="370"/>
      <c r="E655" s="177">
        <v>0</v>
      </c>
      <c r="F655" s="177">
        <v>9450145.6500000004</v>
      </c>
      <c r="G655" s="25"/>
      <c r="H655" s="177">
        <v>1662082.72</v>
      </c>
      <c r="I655" s="25"/>
      <c r="J655" s="177">
        <v>7788062.9299999997</v>
      </c>
      <c r="K655" s="25">
        <f t="shared" si="10"/>
        <v>7788062.9299999997</v>
      </c>
    </row>
    <row r="656" spans="1:11" ht="15.95" customHeight="1" x14ac:dyDescent="0.2">
      <c r="A656" s="156" t="s">
        <v>1107</v>
      </c>
      <c r="B656" s="369" t="s">
        <v>1108</v>
      </c>
      <c r="C656" s="370"/>
      <c r="D656" s="370"/>
      <c r="E656" s="177">
        <v>0</v>
      </c>
      <c r="F656" s="177">
        <v>102154.99</v>
      </c>
      <c r="G656" s="25"/>
      <c r="H656" s="177">
        <v>102154.99</v>
      </c>
      <c r="I656" s="25"/>
      <c r="J656" s="177">
        <v>0</v>
      </c>
      <c r="K656" s="25">
        <f t="shared" si="10"/>
        <v>0</v>
      </c>
    </row>
    <row r="657" spans="1:12" ht="15.95" customHeight="1" x14ac:dyDescent="0.2">
      <c r="A657" s="156" t="s">
        <v>1109</v>
      </c>
      <c r="B657" s="369" t="s">
        <v>1110</v>
      </c>
      <c r="C657" s="370"/>
      <c r="D657" s="370"/>
      <c r="E657" s="177">
        <v>0</v>
      </c>
      <c r="F657" s="177">
        <v>8168838.6600000001</v>
      </c>
      <c r="G657" s="25"/>
      <c r="H657" s="177">
        <v>380775.73</v>
      </c>
      <c r="I657" s="25"/>
      <c r="J657" s="177">
        <v>7788062.9299999997</v>
      </c>
      <c r="K657" s="25">
        <f t="shared" si="10"/>
        <v>7788062.9299999997</v>
      </c>
    </row>
    <row r="658" spans="1:12" ht="15.95" customHeight="1" x14ac:dyDescent="0.2">
      <c r="A658" s="156" t="s">
        <v>1858</v>
      </c>
      <c r="B658" s="369" t="s">
        <v>1859</v>
      </c>
      <c r="C658" s="370"/>
      <c r="D658" s="370"/>
      <c r="E658" s="177">
        <v>0</v>
      </c>
      <c r="F658" s="177">
        <v>1179152</v>
      </c>
      <c r="G658" s="25"/>
      <c r="H658" s="177">
        <v>1179152</v>
      </c>
      <c r="I658" s="25"/>
      <c r="J658" s="177">
        <v>0</v>
      </c>
      <c r="K658" s="25">
        <f t="shared" si="10"/>
        <v>0</v>
      </c>
    </row>
    <row r="659" spans="1:12" ht="15.95" customHeight="1" x14ac:dyDescent="0.2">
      <c r="A659" s="156">
        <v>2390102</v>
      </c>
      <c r="B659" s="369" t="s">
        <v>1111</v>
      </c>
      <c r="C659" s="370"/>
      <c r="D659" s="370"/>
      <c r="E659" s="177">
        <v>39885154.359999999</v>
      </c>
      <c r="F659" s="177">
        <v>37389714</v>
      </c>
      <c r="G659" s="25"/>
      <c r="H659" s="177">
        <v>1281306.99</v>
      </c>
      <c r="I659" s="25"/>
      <c r="J659" s="177">
        <v>75993561.370000005</v>
      </c>
      <c r="K659" s="25">
        <f t="shared" si="10"/>
        <v>36108407.010000005</v>
      </c>
    </row>
    <row r="660" spans="1:12" ht="15.95" customHeight="1" x14ac:dyDescent="0.2">
      <c r="A660" s="156" t="s">
        <v>1112</v>
      </c>
      <c r="B660" s="369" t="s">
        <v>1113</v>
      </c>
      <c r="C660" s="370"/>
      <c r="D660" s="370"/>
      <c r="E660" s="177">
        <v>14487654.380000001</v>
      </c>
      <c r="F660" s="177">
        <v>0</v>
      </c>
      <c r="G660" s="25"/>
      <c r="H660" s="177">
        <v>0</v>
      </c>
      <c r="I660" s="25"/>
      <c r="J660" s="177">
        <v>14487654.380000001</v>
      </c>
      <c r="K660" s="25">
        <f t="shared" si="10"/>
        <v>0</v>
      </c>
    </row>
    <row r="661" spans="1:12" ht="15.95" customHeight="1" x14ac:dyDescent="0.2">
      <c r="A661" s="156" t="s">
        <v>1114</v>
      </c>
      <c r="B661" s="369" t="s">
        <v>1115</v>
      </c>
      <c r="C661" s="370"/>
      <c r="D661" s="370"/>
      <c r="E661" s="177">
        <v>25397499.98</v>
      </c>
      <c r="F661" s="177">
        <v>37389714</v>
      </c>
      <c r="G661" s="25"/>
      <c r="H661" s="177">
        <v>1281306.99</v>
      </c>
      <c r="I661" s="25"/>
      <c r="J661" s="177">
        <v>61505906.990000002</v>
      </c>
      <c r="K661" s="25">
        <f t="shared" si="10"/>
        <v>36108407.010000005</v>
      </c>
    </row>
    <row r="662" spans="1:12" ht="15.95" customHeight="1" x14ac:dyDescent="0.2">
      <c r="A662" s="156">
        <v>2390103</v>
      </c>
      <c r="B662" s="369" t="s">
        <v>1116</v>
      </c>
      <c r="C662" s="370"/>
      <c r="D662" s="370"/>
      <c r="E662" s="177">
        <v>0</v>
      </c>
      <c r="F662" s="177">
        <v>37389714</v>
      </c>
      <c r="G662" s="25"/>
      <c r="H662" s="177">
        <v>37389714</v>
      </c>
      <c r="I662" s="25"/>
      <c r="J662" s="177">
        <v>0</v>
      </c>
      <c r="K662" s="25">
        <f t="shared" si="10"/>
        <v>0</v>
      </c>
    </row>
    <row r="663" spans="1:12" ht="15.95" customHeight="1" x14ac:dyDescent="0.2">
      <c r="A663" s="156" t="s">
        <v>1117</v>
      </c>
      <c r="B663" s="369" t="s">
        <v>1118</v>
      </c>
      <c r="C663" s="370"/>
      <c r="D663" s="370"/>
      <c r="E663" s="177">
        <v>0</v>
      </c>
      <c r="F663" s="177">
        <v>37389714</v>
      </c>
      <c r="G663" s="25"/>
      <c r="H663" s="177">
        <v>37389714</v>
      </c>
      <c r="I663" s="25"/>
      <c r="J663" s="177">
        <v>0</v>
      </c>
      <c r="K663" s="25">
        <f t="shared" si="10"/>
        <v>0</v>
      </c>
    </row>
    <row r="664" spans="1:12" ht="15.95" customHeight="1" x14ac:dyDescent="0.2">
      <c r="A664" s="156">
        <v>24</v>
      </c>
      <c r="B664" s="369" t="s">
        <v>1119</v>
      </c>
      <c r="C664" s="370"/>
      <c r="D664" s="370"/>
      <c r="E664" s="177">
        <v>-1236717.49</v>
      </c>
      <c r="F664" s="177">
        <v>0</v>
      </c>
      <c r="G664" s="25"/>
      <c r="H664" s="177">
        <v>0</v>
      </c>
      <c r="I664" s="25"/>
      <c r="J664" s="177">
        <v>-1236717.49</v>
      </c>
      <c r="K664" s="25">
        <f t="shared" si="10"/>
        <v>0</v>
      </c>
    </row>
    <row r="665" spans="1:12" ht="15.95" customHeight="1" x14ac:dyDescent="0.2">
      <c r="A665" s="156">
        <v>241</v>
      </c>
      <c r="B665" s="369" t="s">
        <v>456</v>
      </c>
      <c r="C665" s="370"/>
      <c r="D665" s="370"/>
      <c r="E665" s="177">
        <v>-1236717.49</v>
      </c>
      <c r="F665" s="177">
        <v>0</v>
      </c>
      <c r="G665" s="25"/>
      <c r="H665" s="177">
        <v>0</v>
      </c>
      <c r="I665" s="25"/>
      <c r="J665" s="177">
        <v>-1236717.49</v>
      </c>
      <c r="K665" s="25">
        <f t="shared" si="10"/>
        <v>0</v>
      </c>
    </row>
    <row r="666" spans="1:12" ht="15.95" customHeight="1" x14ac:dyDescent="0.2">
      <c r="A666" s="156">
        <v>24101</v>
      </c>
      <c r="B666" s="369" t="s">
        <v>1120</v>
      </c>
      <c r="C666" s="370"/>
      <c r="D666" s="370"/>
      <c r="E666" s="177">
        <v>-1236717.49</v>
      </c>
      <c r="F666" s="177">
        <v>0</v>
      </c>
      <c r="G666" s="25"/>
      <c r="H666" s="177">
        <v>0</v>
      </c>
      <c r="I666" s="25"/>
      <c r="J666" s="177">
        <v>-1236717.49</v>
      </c>
      <c r="K666" s="25">
        <f t="shared" si="10"/>
        <v>0</v>
      </c>
    </row>
    <row r="667" spans="1:12" ht="15.95" customHeight="1" x14ac:dyDescent="0.2">
      <c r="A667" s="156">
        <v>2410101</v>
      </c>
      <c r="B667" s="369" t="s">
        <v>457</v>
      </c>
      <c r="C667" s="370"/>
      <c r="D667" s="370"/>
      <c r="E667" s="177">
        <v>-1236717.49</v>
      </c>
      <c r="F667" s="177">
        <v>0</v>
      </c>
      <c r="G667" s="25"/>
      <c r="H667" s="177">
        <v>0</v>
      </c>
      <c r="I667" s="25"/>
      <c r="J667" s="177">
        <v>-1236717.49</v>
      </c>
      <c r="K667" s="25">
        <f t="shared" si="10"/>
        <v>0</v>
      </c>
    </row>
    <row r="668" spans="1:12" ht="15.95" customHeight="1" x14ac:dyDescent="0.2">
      <c r="A668" s="156" t="s">
        <v>1121</v>
      </c>
      <c r="B668" s="369" t="s">
        <v>459</v>
      </c>
      <c r="C668" s="370"/>
      <c r="D668" s="370"/>
      <c r="E668" s="177">
        <v>-1236717.49</v>
      </c>
      <c r="F668" s="177">
        <v>0</v>
      </c>
      <c r="G668" s="25"/>
      <c r="H668" s="177">
        <v>0</v>
      </c>
      <c r="I668" s="25"/>
      <c r="J668" s="177">
        <v>-1236717.49</v>
      </c>
      <c r="K668" s="25">
        <f t="shared" si="10"/>
        <v>0</v>
      </c>
    </row>
    <row r="669" spans="1:12" ht="15.95" customHeight="1" x14ac:dyDescent="0.2">
      <c r="A669" s="156">
        <v>3</v>
      </c>
      <c r="B669" s="369" t="s">
        <v>1122</v>
      </c>
      <c r="C669" s="370"/>
      <c r="D669" s="370"/>
      <c r="E669" s="177">
        <v>0</v>
      </c>
      <c r="F669" s="177">
        <v>6546732.5899999999</v>
      </c>
      <c r="G669" s="25"/>
      <c r="H669" s="177">
        <v>50421521.490000002</v>
      </c>
      <c r="I669" s="25"/>
      <c r="J669" s="177">
        <v>-43874788.899999999</v>
      </c>
      <c r="K669" s="25">
        <f t="shared" si="10"/>
        <v>-43874788.899999999</v>
      </c>
      <c r="L669" s="25">
        <f>K669-K679-K696</f>
        <v>-38635422.990000002</v>
      </c>
    </row>
    <row r="670" spans="1:12" ht="15.95" customHeight="1" x14ac:dyDescent="0.2">
      <c r="A670" s="156">
        <v>31</v>
      </c>
      <c r="B670" s="369" t="s">
        <v>1123</v>
      </c>
      <c r="C670" s="370"/>
      <c r="D670" s="370"/>
      <c r="E670" s="177">
        <v>0</v>
      </c>
      <c r="F670" s="177">
        <v>0</v>
      </c>
      <c r="G670" s="25"/>
      <c r="H670" s="177">
        <v>50417821.490000002</v>
      </c>
      <c r="I670" s="25"/>
      <c r="J670" s="177">
        <v>-50417821.490000002</v>
      </c>
      <c r="K670" s="25">
        <f t="shared" si="10"/>
        <v>-50417821.490000002</v>
      </c>
    </row>
    <row r="671" spans="1:12" ht="15.95" customHeight="1" x14ac:dyDescent="0.2">
      <c r="A671" s="156">
        <v>311</v>
      </c>
      <c r="B671" s="369" t="s">
        <v>1124</v>
      </c>
      <c r="C671" s="370"/>
      <c r="D671" s="370"/>
      <c r="E671" s="177">
        <v>0</v>
      </c>
      <c r="F671" s="177">
        <v>0</v>
      </c>
      <c r="G671" s="25"/>
      <c r="H671" s="177">
        <v>50417821.490000002</v>
      </c>
      <c r="I671" s="25"/>
      <c r="J671" s="177">
        <v>-50417821.490000002</v>
      </c>
      <c r="K671" s="25">
        <f t="shared" si="10"/>
        <v>-50417821.490000002</v>
      </c>
    </row>
    <row r="672" spans="1:12" ht="15.95" customHeight="1" x14ac:dyDescent="0.2">
      <c r="A672" s="156">
        <v>31101</v>
      </c>
      <c r="B672" s="369" t="s">
        <v>1125</v>
      </c>
      <c r="C672" s="370"/>
      <c r="D672" s="370"/>
      <c r="E672" s="177">
        <v>0</v>
      </c>
      <c r="F672" s="177">
        <v>0</v>
      </c>
      <c r="G672" s="25"/>
      <c r="H672" s="177">
        <v>45174518.399999999</v>
      </c>
      <c r="I672" s="25"/>
      <c r="J672" s="177">
        <v>-45174518.399999999</v>
      </c>
      <c r="K672" s="25">
        <f t="shared" si="10"/>
        <v>-45174518.399999999</v>
      </c>
    </row>
    <row r="673" spans="1:11" ht="15.95" customHeight="1" x14ac:dyDescent="0.2">
      <c r="A673" s="156">
        <v>3110101</v>
      </c>
      <c r="B673" s="369" t="s">
        <v>1126</v>
      </c>
      <c r="C673" s="370"/>
      <c r="D673" s="370"/>
      <c r="E673" s="177">
        <v>0</v>
      </c>
      <c r="F673" s="177">
        <v>0</v>
      </c>
      <c r="G673" s="25"/>
      <c r="H673" s="177">
        <v>45174518.399999999</v>
      </c>
      <c r="I673" s="25"/>
      <c r="J673" s="177">
        <v>-45174518.399999999</v>
      </c>
      <c r="K673" s="25">
        <f t="shared" si="10"/>
        <v>-45174518.399999999</v>
      </c>
    </row>
    <row r="674" spans="1:11" ht="15.95" customHeight="1" x14ac:dyDescent="0.2">
      <c r="A674" s="156" t="s">
        <v>1127</v>
      </c>
      <c r="B674" s="369" t="s">
        <v>1128</v>
      </c>
      <c r="C674" s="370"/>
      <c r="D674" s="370"/>
      <c r="E674" s="177">
        <v>0</v>
      </c>
      <c r="F674" s="177">
        <v>0</v>
      </c>
      <c r="G674" s="25"/>
      <c r="H674" s="177">
        <v>15525499.039999999</v>
      </c>
      <c r="I674" s="25"/>
      <c r="J674" s="177">
        <v>-15525499.039999999</v>
      </c>
      <c r="K674" s="25">
        <f t="shared" si="10"/>
        <v>-15525499.039999999</v>
      </c>
    </row>
    <row r="675" spans="1:11" ht="15.95" customHeight="1" x14ac:dyDescent="0.2">
      <c r="A675" s="156" t="s">
        <v>1129</v>
      </c>
      <c r="B675" s="369" t="s">
        <v>1130</v>
      </c>
      <c r="C675" s="370"/>
      <c r="D675" s="370"/>
      <c r="E675" s="177">
        <v>0</v>
      </c>
      <c r="F675" s="177">
        <v>0</v>
      </c>
      <c r="G675" s="25"/>
      <c r="H675" s="177">
        <v>2385750.77</v>
      </c>
      <c r="I675" s="25"/>
      <c r="J675" s="177">
        <v>-2385750.77</v>
      </c>
      <c r="K675" s="25">
        <f t="shared" si="10"/>
        <v>-2385750.77</v>
      </c>
    </row>
    <row r="676" spans="1:11" ht="15.95" customHeight="1" x14ac:dyDescent="0.2">
      <c r="A676" s="156" t="s">
        <v>1131</v>
      </c>
      <c r="B676" s="369" t="s">
        <v>1132</v>
      </c>
      <c r="C676" s="370"/>
      <c r="D676" s="370"/>
      <c r="E676" s="177">
        <v>0</v>
      </c>
      <c r="F676" s="177">
        <v>0</v>
      </c>
      <c r="G676" s="25"/>
      <c r="H676" s="177">
        <v>20310231.460000001</v>
      </c>
      <c r="I676" s="25"/>
      <c r="J676" s="177">
        <v>-20310231.460000001</v>
      </c>
      <c r="K676" s="25">
        <f t="shared" si="10"/>
        <v>-20310231.460000001</v>
      </c>
    </row>
    <row r="677" spans="1:11" ht="15.95" customHeight="1" x14ac:dyDescent="0.2">
      <c r="A677" s="156" t="s">
        <v>1133</v>
      </c>
      <c r="B677" s="369" t="s">
        <v>1134</v>
      </c>
      <c r="C677" s="370"/>
      <c r="D677" s="370"/>
      <c r="E677" s="177">
        <v>0</v>
      </c>
      <c r="F677" s="177">
        <v>0</v>
      </c>
      <c r="G677" s="25"/>
      <c r="H677" s="177">
        <v>1196415.0900000001</v>
      </c>
      <c r="I677" s="25"/>
      <c r="J677" s="177">
        <v>-1196415.0900000001</v>
      </c>
      <c r="K677" s="25">
        <f t="shared" si="10"/>
        <v>-1196415.0900000001</v>
      </c>
    </row>
    <row r="678" spans="1:11" ht="15.95" customHeight="1" x14ac:dyDescent="0.2">
      <c r="A678" s="156" t="s">
        <v>1135</v>
      </c>
      <c r="B678" s="369" t="s">
        <v>1136</v>
      </c>
      <c r="C678" s="370"/>
      <c r="D678" s="370"/>
      <c r="E678" s="177">
        <v>0</v>
      </c>
      <c r="F678" s="177">
        <v>0</v>
      </c>
      <c r="G678" s="25"/>
      <c r="H678" s="177">
        <v>5756622.04</v>
      </c>
      <c r="I678" s="25"/>
      <c r="J678" s="177">
        <v>-5756622.04</v>
      </c>
      <c r="K678" s="25">
        <f t="shared" si="10"/>
        <v>-5756622.04</v>
      </c>
    </row>
    <row r="679" spans="1:11" ht="15.95" customHeight="1" x14ac:dyDescent="0.2">
      <c r="A679" s="156">
        <v>31103</v>
      </c>
      <c r="B679" s="369" t="s">
        <v>1137</v>
      </c>
      <c r="C679" s="370"/>
      <c r="D679" s="370"/>
      <c r="E679" s="177">
        <v>0</v>
      </c>
      <c r="F679" s="177">
        <v>0</v>
      </c>
      <c r="G679" s="25"/>
      <c r="H679" s="177">
        <v>5243303.09</v>
      </c>
      <c r="I679" s="25"/>
      <c r="J679" s="177">
        <v>-5243303.09</v>
      </c>
      <c r="K679" s="25">
        <f t="shared" si="10"/>
        <v>-5243303.09</v>
      </c>
    </row>
    <row r="680" spans="1:11" ht="15.95" customHeight="1" x14ac:dyDescent="0.2">
      <c r="A680" s="156">
        <v>3110301</v>
      </c>
      <c r="B680" s="369" t="s">
        <v>1138</v>
      </c>
      <c r="C680" s="370"/>
      <c r="D680" s="370"/>
      <c r="E680" s="177">
        <v>0</v>
      </c>
      <c r="F680" s="177">
        <v>0</v>
      </c>
      <c r="G680" s="25"/>
      <c r="H680" s="177">
        <v>5243303.09</v>
      </c>
      <c r="I680" s="25"/>
      <c r="J680" s="177">
        <v>-5243303.09</v>
      </c>
      <c r="K680" s="25">
        <f t="shared" si="10"/>
        <v>-5243303.09</v>
      </c>
    </row>
    <row r="681" spans="1:11" ht="15.95" customHeight="1" x14ac:dyDescent="0.2">
      <c r="A681" s="156" t="s">
        <v>1139</v>
      </c>
      <c r="B681" s="369" t="s">
        <v>1140</v>
      </c>
      <c r="C681" s="370"/>
      <c r="D681" s="370"/>
      <c r="E681" s="177">
        <v>0</v>
      </c>
      <c r="F681" s="177">
        <v>0</v>
      </c>
      <c r="G681" s="25"/>
      <c r="H681" s="177">
        <v>5242303.09</v>
      </c>
      <c r="I681" s="25"/>
      <c r="J681" s="177">
        <v>-5242303.09</v>
      </c>
      <c r="K681" s="25">
        <f t="shared" si="10"/>
        <v>-5242303.09</v>
      </c>
    </row>
    <row r="682" spans="1:11" ht="15.95" customHeight="1" x14ac:dyDescent="0.2">
      <c r="A682" s="156" t="s">
        <v>1546</v>
      </c>
      <c r="B682" s="369" t="s">
        <v>1547</v>
      </c>
      <c r="C682" s="370"/>
      <c r="D682" s="370"/>
      <c r="E682" s="177">
        <v>0</v>
      </c>
      <c r="F682" s="177">
        <v>0</v>
      </c>
      <c r="G682" s="25"/>
      <c r="H682" s="177">
        <v>1000</v>
      </c>
      <c r="I682" s="25"/>
      <c r="J682" s="177">
        <v>-1000</v>
      </c>
      <c r="K682" s="25">
        <f t="shared" si="10"/>
        <v>-1000</v>
      </c>
    </row>
    <row r="683" spans="1:11" ht="15.95" customHeight="1" x14ac:dyDescent="0.2">
      <c r="A683" s="156">
        <v>32</v>
      </c>
      <c r="B683" s="369" t="s">
        <v>1141</v>
      </c>
      <c r="C683" s="370"/>
      <c r="D683" s="370"/>
      <c r="E683" s="177">
        <v>0</v>
      </c>
      <c r="F683" s="177">
        <v>6546732.5899999999</v>
      </c>
      <c r="G683" s="25"/>
      <c r="H683" s="177">
        <v>3700</v>
      </c>
      <c r="I683" s="25"/>
      <c r="J683" s="177">
        <v>6543032.5899999999</v>
      </c>
      <c r="K683" s="25">
        <f t="shared" si="10"/>
        <v>6543032.5899999999</v>
      </c>
    </row>
    <row r="684" spans="1:11" ht="15.95" customHeight="1" x14ac:dyDescent="0.2">
      <c r="A684" s="156">
        <v>321</v>
      </c>
      <c r="B684" s="369" t="s">
        <v>1124</v>
      </c>
      <c r="C684" s="370"/>
      <c r="D684" s="370"/>
      <c r="E684" s="177">
        <v>0</v>
      </c>
      <c r="F684" s="177">
        <v>6546732.5899999999</v>
      </c>
      <c r="G684" s="25"/>
      <c r="H684" s="177">
        <v>3700</v>
      </c>
      <c r="I684" s="25"/>
      <c r="J684" s="177">
        <v>6543032.5899999999</v>
      </c>
      <c r="K684" s="25">
        <f t="shared" si="10"/>
        <v>6543032.5899999999</v>
      </c>
    </row>
    <row r="685" spans="1:11" ht="15.95" customHeight="1" x14ac:dyDescent="0.2">
      <c r="A685" s="156">
        <v>32101</v>
      </c>
      <c r="B685" s="369" t="s">
        <v>1142</v>
      </c>
      <c r="C685" s="370"/>
      <c r="D685" s="370"/>
      <c r="E685" s="177">
        <v>0</v>
      </c>
      <c r="F685" s="177">
        <v>6546732.5899999999</v>
      </c>
      <c r="G685" s="25"/>
      <c r="H685" s="177">
        <v>3700</v>
      </c>
      <c r="I685" s="25"/>
      <c r="J685" s="177">
        <v>6543032.5899999999</v>
      </c>
      <c r="K685" s="25">
        <f t="shared" si="10"/>
        <v>6543032.5899999999</v>
      </c>
    </row>
    <row r="686" spans="1:11" ht="15.95" customHeight="1" x14ac:dyDescent="0.2">
      <c r="A686" s="156">
        <v>3210101</v>
      </c>
      <c r="B686" s="369" t="s">
        <v>1143</v>
      </c>
      <c r="C686" s="370"/>
      <c r="D686" s="370"/>
      <c r="E686" s="177">
        <v>0</v>
      </c>
      <c r="F686" s="177">
        <v>5101114.1100000003</v>
      </c>
      <c r="G686" s="25"/>
      <c r="H686" s="177">
        <v>3700</v>
      </c>
      <c r="I686" s="25"/>
      <c r="J686" s="177">
        <v>5097414.1100000003</v>
      </c>
      <c r="K686" s="25">
        <f t="shared" si="10"/>
        <v>5097414.1100000003</v>
      </c>
    </row>
    <row r="687" spans="1:11" ht="15.95" customHeight="1" x14ac:dyDescent="0.2">
      <c r="A687" s="156" t="s">
        <v>1144</v>
      </c>
      <c r="B687" s="369" t="s">
        <v>1145</v>
      </c>
      <c r="C687" s="370"/>
      <c r="D687" s="370"/>
      <c r="E687" s="177">
        <v>0</v>
      </c>
      <c r="F687" s="177">
        <v>519702.9</v>
      </c>
      <c r="G687" s="25"/>
      <c r="H687" s="177">
        <v>660</v>
      </c>
      <c r="I687" s="25"/>
      <c r="J687" s="177">
        <v>519042.9</v>
      </c>
      <c r="K687" s="25">
        <f t="shared" si="10"/>
        <v>519042.9</v>
      </c>
    </row>
    <row r="688" spans="1:11" ht="15.95" customHeight="1" x14ac:dyDescent="0.2">
      <c r="A688" s="156" t="s">
        <v>1146</v>
      </c>
      <c r="B688" s="369" t="s">
        <v>1147</v>
      </c>
      <c r="C688" s="370"/>
      <c r="D688" s="370"/>
      <c r="E688" s="177">
        <v>0</v>
      </c>
      <c r="F688" s="177">
        <v>2402945.92</v>
      </c>
      <c r="G688" s="25"/>
      <c r="H688" s="177">
        <v>3040</v>
      </c>
      <c r="I688" s="25"/>
      <c r="J688" s="177">
        <v>2399905.92</v>
      </c>
      <c r="K688" s="25">
        <f t="shared" si="10"/>
        <v>2399905.92</v>
      </c>
    </row>
    <row r="689" spans="1:11" ht="15.95" customHeight="1" x14ac:dyDescent="0.2">
      <c r="A689" s="156" t="s">
        <v>1148</v>
      </c>
      <c r="B689" s="369" t="s">
        <v>1149</v>
      </c>
      <c r="C689" s="370"/>
      <c r="D689" s="370"/>
      <c r="E689" s="177">
        <v>0</v>
      </c>
      <c r="F689" s="177">
        <v>2178465.29</v>
      </c>
      <c r="G689" s="25"/>
      <c r="H689" s="177">
        <v>0</v>
      </c>
      <c r="I689" s="25"/>
      <c r="J689" s="177">
        <v>2178465.29</v>
      </c>
      <c r="K689" s="25">
        <f t="shared" si="10"/>
        <v>2178465.29</v>
      </c>
    </row>
    <row r="690" spans="1:11" ht="15.95" customHeight="1" x14ac:dyDescent="0.2">
      <c r="A690" s="156">
        <v>3210102</v>
      </c>
      <c r="B690" s="369" t="s">
        <v>1150</v>
      </c>
      <c r="C690" s="370"/>
      <c r="D690" s="370"/>
      <c r="E690" s="177">
        <v>0</v>
      </c>
      <c r="F690" s="177">
        <v>1445618.48</v>
      </c>
      <c r="G690" s="25"/>
      <c r="H690" s="177">
        <v>0</v>
      </c>
      <c r="I690" s="25"/>
      <c r="J690" s="177">
        <v>1445618.48</v>
      </c>
      <c r="K690" s="25">
        <f t="shared" si="10"/>
        <v>1445618.48</v>
      </c>
    </row>
    <row r="691" spans="1:11" ht="15.95" customHeight="1" x14ac:dyDescent="0.2">
      <c r="A691" s="156" t="s">
        <v>1151</v>
      </c>
      <c r="B691" s="369" t="s">
        <v>1152</v>
      </c>
      <c r="C691" s="370"/>
      <c r="D691" s="370"/>
      <c r="E691" s="177">
        <v>0</v>
      </c>
      <c r="F691" s="177">
        <v>344161.68</v>
      </c>
      <c r="G691" s="25"/>
      <c r="H691" s="177">
        <v>0</v>
      </c>
      <c r="I691" s="25"/>
      <c r="J691" s="177">
        <v>344161.68</v>
      </c>
      <c r="K691" s="25">
        <f t="shared" si="10"/>
        <v>344161.68</v>
      </c>
    </row>
    <row r="692" spans="1:11" ht="15.95" customHeight="1" x14ac:dyDescent="0.2">
      <c r="A692" s="156" t="s">
        <v>1153</v>
      </c>
      <c r="B692" s="369" t="s">
        <v>1154</v>
      </c>
      <c r="C692" s="370"/>
      <c r="D692" s="370"/>
      <c r="E692" s="177">
        <v>0</v>
      </c>
      <c r="F692" s="177">
        <v>72887.53</v>
      </c>
      <c r="G692" s="25"/>
      <c r="H692" s="177">
        <v>0</v>
      </c>
      <c r="I692" s="25"/>
      <c r="J692" s="177">
        <v>72887.53</v>
      </c>
      <c r="K692" s="25">
        <f t="shared" si="10"/>
        <v>72887.53</v>
      </c>
    </row>
    <row r="693" spans="1:11" ht="15.95" customHeight="1" x14ac:dyDescent="0.2">
      <c r="A693" s="156" t="s">
        <v>1155</v>
      </c>
      <c r="B693" s="369" t="s">
        <v>1156</v>
      </c>
      <c r="C693" s="370"/>
      <c r="D693" s="370"/>
      <c r="E693" s="177">
        <v>0</v>
      </c>
      <c r="F693" s="177">
        <v>691514.94</v>
      </c>
      <c r="G693" s="25"/>
      <c r="H693" s="177">
        <v>0</v>
      </c>
      <c r="I693" s="25"/>
      <c r="J693" s="177">
        <v>691514.94</v>
      </c>
      <c r="K693" s="25">
        <f t="shared" si="10"/>
        <v>691514.94</v>
      </c>
    </row>
    <row r="694" spans="1:11" ht="15.95" customHeight="1" x14ac:dyDescent="0.2">
      <c r="A694" s="156" t="s">
        <v>1157</v>
      </c>
      <c r="B694" s="369" t="s">
        <v>1134</v>
      </c>
      <c r="C694" s="370"/>
      <c r="D694" s="370"/>
      <c r="E694" s="177">
        <v>0</v>
      </c>
      <c r="F694" s="177">
        <v>104102.97</v>
      </c>
      <c r="G694" s="25"/>
      <c r="H694" s="177">
        <v>0</v>
      </c>
      <c r="I694" s="25"/>
      <c r="J694" s="177">
        <v>104102.97</v>
      </c>
      <c r="K694" s="25">
        <f t="shared" si="10"/>
        <v>104102.97</v>
      </c>
    </row>
    <row r="695" spans="1:11" ht="15.95" customHeight="1" x14ac:dyDescent="0.2">
      <c r="A695" s="156" t="s">
        <v>1158</v>
      </c>
      <c r="B695" s="369" t="s">
        <v>1136</v>
      </c>
      <c r="C695" s="370"/>
      <c r="D695" s="370"/>
      <c r="E695" s="177">
        <v>0</v>
      </c>
      <c r="F695" s="177">
        <v>229014.18</v>
      </c>
      <c r="G695" s="25"/>
      <c r="H695" s="177">
        <v>0</v>
      </c>
      <c r="I695" s="25"/>
      <c r="J695" s="177">
        <v>229014.18</v>
      </c>
      <c r="K695" s="25">
        <f t="shared" si="10"/>
        <v>229014.18</v>
      </c>
    </row>
    <row r="696" spans="1:11" ht="15.95" customHeight="1" x14ac:dyDescent="0.2">
      <c r="A696" s="156" t="s">
        <v>1159</v>
      </c>
      <c r="B696" s="369" t="s">
        <v>1140</v>
      </c>
      <c r="C696" s="370"/>
      <c r="D696" s="370"/>
      <c r="E696" s="177">
        <v>0</v>
      </c>
      <c r="F696" s="177">
        <v>3937.18</v>
      </c>
      <c r="G696" s="25"/>
      <c r="H696" s="177">
        <v>0</v>
      </c>
      <c r="I696" s="25"/>
      <c r="J696" s="177">
        <v>3937.18</v>
      </c>
      <c r="K696" s="25">
        <f t="shared" si="10"/>
        <v>3937.18</v>
      </c>
    </row>
    <row r="697" spans="1:11" ht="15.95" customHeight="1" x14ac:dyDescent="0.2">
      <c r="A697" s="156">
        <v>4</v>
      </c>
      <c r="B697" s="369" t="s">
        <v>1160</v>
      </c>
      <c r="C697" s="370"/>
      <c r="D697" s="370"/>
      <c r="E697" s="177">
        <v>0</v>
      </c>
      <c r="F697" s="177">
        <v>31651348.829999998</v>
      </c>
      <c r="G697" s="25"/>
      <c r="H697" s="177">
        <v>1944640.41</v>
      </c>
      <c r="I697" s="25"/>
      <c r="J697" s="177">
        <v>29706708.420000002</v>
      </c>
      <c r="K697" s="25">
        <f t="shared" si="10"/>
        <v>29706708.420000002</v>
      </c>
    </row>
    <row r="698" spans="1:11" ht="15.95" customHeight="1" x14ac:dyDescent="0.2">
      <c r="A698" s="156">
        <v>41</v>
      </c>
      <c r="B698" s="369" t="s">
        <v>1161</v>
      </c>
      <c r="C698" s="370"/>
      <c r="D698" s="370"/>
      <c r="E698" s="177">
        <v>0</v>
      </c>
      <c r="F698" s="177">
        <v>31651348.829999998</v>
      </c>
      <c r="G698" s="25"/>
      <c r="H698" s="177">
        <v>1944640.41</v>
      </c>
      <c r="I698" s="25"/>
      <c r="J698" s="177">
        <v>29706708.420000002</v>
      </c>
      <c r="K698" s="25">
        <f t="shared" si="10"/>
        <v>29706708.420000002</v>
      </c>
    </row>
    <row r="699" spans="1:11" ht="15.95" customHeight="1" x14ac:dyDescent="0.2">
      <c r="A699" s="156">
        <v>411</v>
      </c>
      <c r="B699" s="369" t="s">
        <v>1161</v>
      </c>
      <c r="C699" s="370"/>
      <c r="D699" s="370"/>
      <c r="E699" s="177">
        <v>0</v>
      </c>
      <c r="F699" s="177">
        <v>31651348.829999998</v>
      </c>
      <c r="G699" s="25"/>
      <c r="H699" s="177">
        <v>1944640.41</v>
      </c>
      <c r="I699" s="25"/>
      <c r="J699" s="177">
        <v>29706708.420000002</v>
      </c>
      <c r="K699" s="25">
        <f t="shared" si="10"/>
        <v>29706708.420000002</v>
      </c>
    </row>
    <row r="700" spans="1:11" ht="15.95" customHeight="1" x14ac:dyDescent="0.2">
      <c r="A700" s="156">
        <v>41101</v>
      </c>
      <c r="B700" s="369" t="s">
        <v>1161</v>
      </c>
      <c r="C700" s="370"/>
      <c r="D700" s="370"/>
      <c r="E700" s="177">
        <v>0</v>
      </c>
      <c r="F700" s="177">
        <v>31651348.829999998</v>
      </c>
      <c r="G700" s="25"/>
      <c r="H700" s="177">
        <v>1944640.41</v>
      </c>
      <c r="I700" s="25"/>
      <c r="J700" s="177">
        <v>29706708.420000002</v>
      </c>
      <c r="K700" s="25">
        <f t="shared" si="10"/>
        <v>29706708.420000002</v>
      </c>
    </row>
    <row r="701" spans="1:11" ht="15.95" customHeight="1" x14ac:dyDescent="0.2">
      <c r="A701" s="156">
        <v>4110101</v>
      </c>
      <c r="B701" s="369" t="s">
        <v>1162</v>
      </c>
      <c r="C701" s="370"/>
      <c r="D701" s="370"/>
      <c r="E701" s="177">
        <v>0</v>
      </c>
      <c r="F701" s="177">
        <v>9030524.5</v>
      </c>
      <c r="G701" s="25"/>
      <c r="H701" s="177">
        <v>711668.15</v>
      </c>
      <c r="I701" s="25"/>
      <c r="J701" s="177">
        <v>8318856.3499999996</v>
      </c>
      <c r="K701" s="25">
        <f t="shared" si="10"/>
        <v>8318856.3499999996</v>
      </c>
    </row>
    <row r="702" spans="1:11" ht="15.95" customHeight="1" x14ac:dyDescent="0.2">
      <c r="A702" s="156" t="s">
        <v>1163</v>
      </c>
      <c r="B702" s="369" t="s">
        <v>1164</v>
      </c>
      <c r="C702" s="370"/>
      <c r="D702" s="370"/>
      <c r="E702" s="177">
        <v>0</v>
      </c>
      <c r="F702" s="177">
        <v>2065189.08</v>
      </c>
      <c r="G702" s="25"/>
      <c r="H702" s="177">
        <v>84832.68</v>
      </c>
      <c r="I702" s="25"/>
      <c r="J702" s="177">
        <v>1980356.4</v>
      </c>
      <c r="K702" s="25">
        <f t="shared" si="10"/>
        <v>1980356.4</v>
      </c>
    </row>
    <row r="703" spans="1:11" ht="15.95" customHeight="1" x14ac:dyDescent="0.2">
      <c r="A703" s="156" t="s">
        <v>1165</v>
      </c>
      <c r="B703" s="369" t="s">
        <v>1166</v>
      </c>
      <c r="C703" s="370"/>
      <c r="D703" s="370"/>
      <c r="E703" s="177">
        <v>0</v>
      </c>
      <c r="F703" s="177">
        <v>834262.6</v>
      </c>
      <c r="G703" s="25"/>
      <c r="H703" s="177">
        <v>324.08999999999997</v>
      </c>
      <c r="I703" s="25"/>
      <c r="J703" s="177">
        <v>833938.51</v>
      </c>
      <c r="K703" s="25">
        <f t="shared" si="10"/>
        <v>833938.51</v>
      </c>
    </row>
    <row r="704" spans="1:11" ht="27.95" customHeight="1" x14ac:dyDescent="0.2">
      <c r="A704" s="156" t="s">
        <v>1167</v>
      </c>
      <c r="B704" s="369" t="s">
        <v>1168</v>
      </c>
      <c r="C704" s="370"/>
      <c r="D704" s="370"/>
      <c r="E704" s="177">
        <v>0</v>
      </c>
      <c r="F704" s="177">
        <v>337884.51</v>
      </c>
      <c r="G704" s="25"/>
      <c r="H704" s="177">
        <v>0</v>
      </c>
      <c r="I704" s="25"/>
      <c r="J704" s="177">
        <v>337884.51</v>
      </c>
      <c r="K704" s="25">
        <f t="shared" si="10"/>
        <v>337884.51</v>
      </c>
    </row>
    <row r="705" spans="1:11" ht="15.95" customHeight="1" x14ac:dyDescent="0.2">
      <c r="A705" s="156" t="s">
        <v>1169</v>
      </c>
      <c r="B705" s="369" t="s">
        <v>1170</v>
      </c>
      <c r="C705" s="370"/>
      <c r="D705" s="370"/>
      <c r="E705" s="177">
        <v>0</v>
      </c>
      <c r="F705" s="177">
        <v>166648.13</v>
      </c>
      <c r="G705" s="25"/>
      <c r="H705" s="177">
        <v>19.84</v>
      </c>
      <c r="I705" s="25"/>
      <c r="J705" s="177">
        <v>166628.29</v>
      </c>
      <c r="K705" s="25">
        <f t="shared" si="10"/>
        <v>166628.29</v>
      </c>
    </row>
    <row r="706" spans="1:11" ht="15.95" customHeight="1" x14ac:dyDescent="0.2">
      <c r="A706" s="156" t="s">
        <v>1171</v>
      </c>
      <c r="B706" s="369" t="s">
        <v>1172</v>
      </c>
      <c r="C706" s="370"/>
      <c r="D706" s="370"/>
      <c r="E706" s="177">
        <v>0</v>
      </c>
      <c r="F706" s="177">
        <v>579365.93999999994</v>
      </c>
      <c r="G706" s="25"/>
      <c r="H706" s="177">
        <v>264102.26</v>
      </c>
      <c r="I706" s="25"/>
      <c r="J706" s="177">
        <v>315263.68</v>
      </c>
      <c r="K706" s="25">
        <f t="shared" si="10"/>
        <v>315263.68</v>
      </c>
    </row>
    <row r="707" spans="1:11" ht="15.95" customHeight="1" x14ac:dyDescent="0.2">
      <c r="A707" s="156" t="s">
        <v>1173</v>
      </c>
      <c r="B707" s="369" t="s">
        <v>1174</v>
      </c>
      <c r="C707" s="370"/>
      <c r="D707" s="370"/>
      <c r="E707" s="177">
        <v>0</v>
      </c>
      <c r="F707" s="177">
        <v>365010.96</v>
      </c>
      <c r="G707" s="25"/>
      <c r="H707" s="177">
        <v>21098.62</v>
      </c>
      <c r="I707" s="25"/>
      <c r="J707" s="177">
        <v>343912.34</v>
      </c>
      <c r="K707" s="25">
        <f t="shared" si="10"/>
        <v>343912.34</v>
      </c>
    </row>
    <row r="708" spans="1:11" ht="15.95" customHeight="1" x14ac:dyDescent="0.2">
      <c r="A708" s="156" t="s">
        <v>1175</v>
      </c>
      <c r="B708" s="369" t="s">
        <v>1176</v>
      </c>
      <c r="C708" s="370"/>
      <c r="D708" s="370"/>
      <c r="E708" s="177">
        <v>0</v>
      </c>
      <c r="F708" s="177">
        <v>1555382.34</v>
      </c>
      <c r="G708" s="25"/>
      <c r="H708" s="177">
        <v>63984.31</v>
      </c>
      <c r="I708" s="25"/>
      <c r="J708" s="177">
        <v>1491398.03</v>
      </c>
      <c r="K708" s="25">
        <f t="shared" ref="K708:K771" si="11">J708-E708</f>
        <v>1491398.03</v>
      </c>
    </row>
    <row r="709" spans="1:11" ht="15.95" customHeight="1" x14ac:dyDescent="0.2">
      <c r="A709" s="156" t="s">
        <v>1177</v>
      </c>
      <c r="B709" s="369" t="s">
        <v>1178</v>
      </c>
      <c r="C709" s="370"/>
      <c r="D709" s="370"/>
      <c r="E709" s="177">
        <v>0</v>
      </c>
      <c r="F709" s="177">
        <v>720664.3</v>
      </c>
      <c r="G709" s="25"/>
      <c r="H709" s="177">
        <v>19178.11</v>
      </c>
      <c r="I709" s="25"/>
      <c r="J709" s="177">
        <v>701486.19</v>
      </c>
      <c r="K709" s="25">
        <f t="shared" si="11"/>
        <v>701486.19</v>
      </c>
    </row>
    <row r="710" spans="1:11" ht="15.95" customHeight="1" x14ac:dyDescent="0.2">
      <c r="A710" s="156" t="s">
        <v>1179</v>
      </c>
      <c r="B710" s="369" t="s">
        <v>1180</v>
      </c>
      <c r="C710" s="370"/>
      <c r="D710" s="370"/>
      <c r="E710" s="177">
        <v>0</v>
      </c>
      <c r="F710" s="177">
        <v>458258.14</v>
      </c>
      <c r="G710" s="25"/>
      <c r="H710" s="177">
        <v>14738.47</v>
      </c>
      <c r="I710" s="25"/>
      <c r="J710" s="177">
        <v>443519.67</v>
      </c>
      <c r="K710" s="25">
        <f t="shared" si="11"/>
        <v>443519.67</v>
      </c>
    </row>
    <row r="711" spans="1:11" ht="15.95" customHeight="1" x14ac:dyDescent="0.2">
      <c r="A711" s="156" t="s">
        <v>1181</v>
      </c>
      <c r="B711" s="369" t="s">
        <v>1182</v>
      </c>
      <c r="C711" s="370"/>
      <c r="D711" s="370"/>
      <c r="E711" s="177">
        <v>0</v>
      </c>
      <c r="F711" s="177">
        <v>521165.09</v>
      </c>
      <c r="G711" s="25"/>
      <c r="H711" s="177">
        <v>180191.87</v>
      </c>
      <c r="I711" s="25"/>
      <c r="J711" s="177">
        <v>340973.22</v>
      </c>
      <c r="K711" s="25">
        <f t="shared" si="11"/>
        <v>340973.22</v>
      </c>
    </row>
    <row r="712" spans="1:11" ht="15.95" customHeight="1" x14ac:dyDescent="0.2">
      <c r="A712" s="156" t="s">
        <v>1183</v>
      </c>
      <c r="B712" s="369" t="s">
        <v>1184</v>
      </c>
      <c r="C712" s="370"/>
      <c r="D712" s="370"/>
      <c r="E712" s="177">
        <v>0</v>
      </c>
      <c r="F712" s="177">
        <v>10760.02</v>
      </c>
      <c r="G712" s="25"/>
      <c r="H712" s="177">
        <v>4259.76</v>
      </c>
      <c r="I712" s="25"/>
      <c r="J712" s="177">
        <v>6500.26</v>
      </c>
      <c r="K712" s="25">
        <f t="shared" si="11"/>
        <v>6500.26</v>
      </c>
    </row>
    <row r="713" spans="1:11" ht="15.95" customHeight="1" x14ac:dyDescent="0.2">
      <c r="A713" s="156" t="s">
        <v>1185</v>
      </c>
      <c r="B713" s="369" t="s">
        <v>1186</v>
      </c>
      <c r="C713" s="370"/>
      <c r="D713" s="370"/>
      <c r="E713" s="177">
        <v>0</v>
      </c>
      <c r="F713" s="177">
        <v>427676.15</v>
      </c>
      <c r="G713" s="25"/>
      <c r="H713" s="177">
        <v>27254.58</v>
      </c>
      <c r="I713" s="25"/>
      <c r="J713" s="177">
        <v>400421.57</v>
      </c>
      <c r="K713" s="25">
        <f t="shared" si="11"/>
        <v>400421.57</v>
      </c>
    </row>
    <row r="714" spans="1:11" ht="15.95" customHeight="1" x14ac:dyDescent="0.2">
      <c r="A714" s="156" t="s">
        <v>1860</v>
      </c>
      <c r="B714" s="369" t="s">
        <v>1257</v>
      </c>
      <c r="C714" s="370"/>
      <c r="D714" s="370"/>
      <c r="E714" s="177">
        <v>0</v>
      </c>
      <c r="F714" s="177">
        <v>80065.03</v>
      </c>
      <c r="G714" s="25"/>
      <c r="H714" s="177">
        <v>0</v>
      </c>
      <c r="I714" s="25"/>
      <c r="J714" s="177">
        <v>80065.03</v>
      </c>
      <c r="K714" s="25">
        <f t="shared" si="11"/>
        <v>80065.03</v>
      </c>
    </row>
    <row r="715" spans="1:11" ht="15.95" customHeight="1" x14ac:dyDescent="0.2">
      <c r="A715" s="156" t="s">
        <v>1187</v>
      </c>
      <c r="B715" s="369" t="s">
        <v>1188</v>
      </c>
      <c r="C715" s="370"/>
      <c r="D715" s="370"/>
      <c r="E715" s="177">
        <v>0</v>
      </c>
      <c r="F715" s="177">
        <v>113574</v>
      </c>
      <c r="G715" s="25"/>
      <c r="H715" s="177">
        <v>6307.5</v>
      </c>
      <c r="I715" s="25"/>
      <c r="J715" s="177">
        <v>107266.5</v>
      </c>
      <c r="K715" s="25">
        <f t="shared" si="11"/>
        <v>107266.5</v>
      </c>
    </row>
    <row r="716" spans="1:11" ht="15.95" customHeight="1" x14ac:dyDescent="0.2">
      <c r="A716" s="156" t="s">
        <v>1189</v>
      </c>
      <c r="B716" s="369" t="s">
        <v>1190</v>
      </c>
      <c r="C716" s="370"/>
      <c r="D716" s="370"/>
      <c r="E716" s="177">
        <v>0</v>
      </c>
      <c r="F716" s="177">
        <v>1229.7</v>
      </c>
      <c r="G716" s="25"/>
      <c r="H716" s="177">
        <v>0</v>
      </c>
      <c r="I716" s="25"/>
      <c r="J716" s="177">
        <v>1229.7</v>
      </c>
      <c r="K716" s="25">
        <f t="shared" si="11"/>
        <v>1229.7</v>
      </c>
    </row>
    <row r="717" spans="1:11" ht="15.95" customHeight="1" x14ac:dyDescent="0.2">
      <c r="A717" s="156" t="s">
        <v>1191</v>
      </c>
      <c r="B717" s="369" t="s">
        <v>1192</v>
      </c>
      <c r="C717" s="370"/>
      <c r="D717" s="370"/>
      <c r="E717" s="177">
        <v>0</v>
      </c>
      <c r="F717" s="177">
        <v>7363.46</v>
      </c>
      <c r="G717" s="25"/>
      <c r="H717" s="177">
        <v>1649.7</v>
      </c>
      <c r="I717" s="25"/>
      <c r="J717" s="177">
        <v>5713.76</v>
      </c>
      <c r="K717" s="25">
        <f t="shared" si="11"/>
        <v>5713.76</v>
      </c>
    </row>
    <row r="718" spans="1:11" ht="15.95" customHeight="1" x14ac:dyDescent="0.2">
      <c r="A718" s="156" t="s">
        <v>1193</v>
      </c>
      <c r="B718" s="369" t="s">
        <v>1194</v>
      </c>
      <c r="C718" s="370"/>
      <c r="D718" s="370"/>
      <c r="E718" s="177">
        <v>0</v>
      </c>
      <c r="F718" s="177">
        <v>75865.31</v>
      </c>
      <c r="G718" s="25"/>
      <c r="H718" s="177">
        <v>0</v>
      </c>
      <c r="I718" s="25"/>
      <c r="J718" s="177">
        <v>75865.31</v>
      </c>
      <c r="K718" s="25">
        <f t="shared" si="11"/>
        <v>75865.31</v>
      </c>
    </row>
    <row r="719" spans="1:11" ht="15.95" customHeight="1" x14ac:dyDescent="0.2">
      <c r="A719" s="156" t="s">
        <v>1195</v>
      </c>
      <c r="B719" s="369" t="s">
        <v>1196</v>
      </c>
      <c r="C719" s="370"/>
      <c r="D719" s="370"/>
      <c r="E719" s="177">
        <v>0</v>
      </c>
      <c r="F719" s="177">
        <v>20530.560000000001</v>
      </c>
      <c r="G719" s="25"/>
      <c r="H719" s="177">
        <v>5597.21</v>
      </c>
      <c r="I719" s="25"/>
      <c r="J719" s="177">
        <v>14933.35</v>
      </c>
      <c r="K719" s="25">
        <f t="shared" si="11"/>
        <v>14933.35</v>
      </c>
    </row>
    <row r="720" spans="1:11" ht="15.95" customHeight="1" x14ac:dyDescent="0.2">
      <c r="A720" s="156" t="s">
        <v>1861</v>
      </c>
      <c r="B720" s="369" t="s">
        <v>1862</v>
      </c>
      <c r="C720" s="370"/>
      <c r="D720" s="370"/>
      <c r="E720" s="177">
        <v>0</v>
      </c>
      <c r="F720" s="177">
        <v>8414.24</v>
      </c>
      <c r="G720" s="25"/>
      <c r="H720" s="177">
        <v>0</v>
      </c>
      <c r="I720" s="25"/>
      <c r="J720" s="177">
        <v>8414.24</v>
      </c>
      <c r="K720" s="25">
        <f t="shared" si="11"/>
        <v>8414.24</v>
      </c>
    </row>
    <row r="721" spans="1:11" ht="15.95" customHeight="1" x14ac:dyDescent="0.2">
      <c r="A721" s="156" t="s">
        <v>1197</v>
      </c>
      <c r="B721" s="369" t="s">
        <v>1198</v>
      </c>
      <c r="C721" s="370"/>
      <c r="D721" s="370"/>
      <c r="E721" s="177">
        <v>0</v>
      </c>
      <c r="F721" s="177">
        <v>471908.48</v>
      </c>
      <c r="G721" s="25"/>
      <c r="H721" s="177">
        <v>18129.150000000001</v>
      </c>
      <c r="I721" s="25"/>
      <c r="J721" s="177">
        <v>453779.33</v>
      </c>
      <c r="K721" s="25">
        <f t="shared" si="11"/>
        <v>453779.33</v>
      </c>
    </row>
    <row r="722" spans="1:11" ht="15.95" customHeight="1" x14ac:dyDescent="0.2">
      <c r="A722" s="156" t="s">
        <v>1199</v>
      </c>
      <c r="B722" s="369" t="s">
        <v>1200</v>
      </c>
      <c r="C722" s="370"/>
      <c r="D722" s="370"/>
      <c r="E722" s="177">
        <v>0</v>
      </c>
      <c r="F722" s="177">
        <v>209306.46</v>
      </c>
      <c r="G722" s="25"/>
      <c r="H722" s="177">
        <v>0</v>
      </c>
      <c r="I722" s="25"/>
      <c r="J722" s="177">
        <v>209306.46</v>
      </c>
      <c r="K722" s="25">
        <f t="shared" si="11"/>
        <v>209306.46</v>
      </c>
    </row>
    <row r="723" spans="1:11" ht="15.95" customHeight="1" x14ac:dyDescent="0.2">
      <c r="A723" s="156">
        <v>4110103</v>
      </c>
      <c r="B723" s="369" t="s">
        <v>1201</v>
      </c>
      <c r="C723" s="370"/>
      <c r="D723" s="370"/>
      <c r="E723" s="177">
        <v>0</v>
      </c>
      <c r="F723" s="177">
        <v>8323797.46</v>
      </c>
      <c r="G723" s="25"/>
      <c r="H723" s="177">
        <v>479885.77</v>
      </c>
      <c r="I723" s="25"/>
      <c r="J723" s="177">
        <v>7843911.6900000004</v>
      </c>
      <c r="K723" s="25">
        <f t="shared" si="11"/>
        <v>7843911.6900000004</v>
      </c>
    </row>
    <row r="724" spans="1:11" ht="15.95" customHeight="1" x14ac:dyDescent="0.2">
      <c r="A724" s="156" t="s">
        <v>1202</v>
      </c>
      <c r="B724" s="369" t="s">
        <v>1203</v>
      </c>
      <c r="C724" s="370"/>
      <c r="D724" s="370"/>
      <c r="E724" s="177">
        <v>0</v>
      </c>
      <c r="F724" s="177">
        <v>420795.58</v>
      </c>
      <c r="G724" s="25"/>
      <c r="H724" s="177">
        <v>397905.58</v>
      </c>
      <c r="I724" s="25"/>
      <c r="J724" s="177">
        <v>22890</v>
      </c>
      <c r="K724" s="25">
        <f t="shared" si="11"/>
        <v>22890</v>
      </c>
    </row>
    <row r="725" spans="1:11" ht="15.95" customHeight="1" x14ac:dyDescent="0.2">
      <c r="A725" s="156" t="s">
        <v>1204</v>
      </c>
      <c r="B725" s="369" t="s">
        <v>1205</v>
      </c>
      <c r="C725" s="370"/>
      <c r="D725" s="370"/>
      <c r="E725" s="177">
        <v>0</v>
      </c>
      <c r="F725" s="177">
        <v>123565.69</v>
      </c>
      <c r="G725" s="25"/>
      <c r="H725" s="177">
        <v>0</v>
      </c>
      <c r="I725" s="25"/>
      <c r="J725" s="177">
        <v>123565.69</v>
      </c>
      <c r="K725" s="25">
        <f t="shared" si="11"/>
        <v>123565.69</v>
      </c>
    </row>
    <row r="726" spans="1:11" ht="15.95" customHeight="1" x14ac:dyDescent="0.2">
      <c r="A726" s="156" t="s">
        <v>1206</v>
      </c>
      <c r="B726" s="369" t="s">
        <v>1207</v>
      </c>
      <c r="C726" s="370"/>
      <c r="D726" s="370"/>
      <c r="E726" s="177">
        <v>0</v>
      </c>
      <c r="F726" s="177">
        <v>998052.43</v>
      </c>
      <c r="G726" s="25"/>
      <c r="H726" s="177">
        <v>0</v>
      </c>
      <c r="I726" s="25"/>
      <c r="J726" s="177">
        <v>998052.43</v>
      </c>
      <c r="K726" s="25">
        <f t="shared" si="11"/>
        <v>998052.43</v>
      </c>
    </row>
    <row r="727" spans="1:11" ht="15.95" customHeight="1" x14ac:dyDescent="0.2">
      <c r="A727" s="156" t="s">
        <v>1208</v>
      </c>
      <c r="B727" s="369" t="s">
        <v>1209</v>
      </c>
      <c r="C727" s="370"/>
      <c r="D727" s="370"/>
      <c r="E727" s="177">
        <v>0</v>
      </c>
      <c r="F727" s="177">
        <v>2348530.94</v>
      </c>
      <c r="G727" s="25"/>
      <c r="H727" s="177">
        <v>70274.789999999994</v>
      </c>
      <c r="I727" s="25"/>
      <c r="J727" s="177">
        <v>2278256.15</v>
      </c>
      <c r="K727" s="25">
        <f t="shared" si="11"/>
        <v>2278256.15</v>
      </c>
    </row>
    <row r="728" spans="1:11" ht="15.95" customHeight="1" x14ac:dyDescent="0.2">
      <c r="A728" s="156" t="s">
        <v>1210</v>
      </c>
      <c r="B728" s="369" t="s">
        <v>1211</v>
      </c>
      <c r="C728" s="370"/>
      <c r="D728" s="370"/>
      <c r="E728" s="177">
        <v>0</v>
      </c>
      <c r="F728" s="177">
        <v>30000</v>
      </c>
      <c r="G728" s="25"/>
      <c r="H728" s="177">
        <v>0</v>
      </c>
      <c r="I728" s="25"/>
      <c r="J728" s="177">
        <v>30000</v>
      </c>
      <c r="K728" s="25">
        <f t="shared" si="11"/>
        <v>30000</v>
      </c>
    </row>
    <row r="729" spans="1:11" ht="15.95" customHeight="1" x14ac:dyDescent="0.2">
      <c r="A729" s="156" t="s">
        <v>1212</v>
      </c>
      <c r="B729" s="369" t="s">
        <v>1213</v>
      </c>
      <c r="C729" s="370"/>
      <c r="D729" s="370"/>
      <c r="E729" s="177">
        <v>0</v>
      </c>
      <c r="F729" s="177">
        <v>8860</v>
      </c>
      <c r="G729" s="25"/>
      <c r="H729" s="177">
        <v>0</v>
      </c>
      <c r="I729" s="25"/>
      <c r="J729" s="177">
        <v>8860</v>
      </c>
      <c r="K729" s="25">
        <f t="shared" si="11"/>
        <v>8860</v>
      </c>
    </row>
    <row r="730" spans="1:11" ht="15.95" customHeight="1" x14ac:dyDescent="0.2">
      <c r="A730" s="156" t="s">
        <v>1553</v>
      </c>
      <c r="B730" s="369" t="s">
        <v>1554</v>
      </c>
      <c r="C730" s="370"/>
      <c r="D730" s="370"/>
      <c r="E730" s="177">
        <v>0</v>
      </c>
      <c r="F730" s="177">
        <v>585710.93999999994</v>
      </c>
      <c r="G730" s="25"/>
      <c r="H730" s="177">
        <v>0</v>
      </c>
      <c r="I730" s="25"/>
      <c r="J730" s="177">
        <v>585710.93999999994</v>
      </c>
      <c r="K730" s="25">
        <f t="shared" si="11"/>
        <v>585710.93999999994</v>
      </c>
    </row>
    <row r="731" spans="1:11" ht="15.95" customHeight="1" x14ac:dyDescent="0.2">
      <c r="A731" s="156" t="s">
        <v>1214</v>
      </c>
      <c r="B731" s="369" t="s">
        <v>1215</v>
      </c>
      <c r="C731" s="370"/>
      <c r="D731" s="370"/>
      <c r="E731" s="177">
        <v>0</v>
      </c>
      <c r="F731" s="177">
        <v>35465.33</v>
      </c>
      <c r="G731" s="25"/>
      <c r="H731" s="177">
        <v>11705.38</v>
      </c>
      <c r="I731" s="25"/>
      <c r="J731" s="177">
        <v>23759.95</v>
      </c>
      <c r="K731" s="25">
        <f t="shared" si="11"/>
        <v>23759.95</v>
      </c>
    </row>
    <row r="732" spans="1:11" ht="15.95" customHeight="1" x14ac:dyDescent="0.2">
      <c r="A732" s="156" t="s">
        <v>1216</v>
      </c>
      <c r="B732" s="369" t="s">
        <v>1217</v>
      </c>
      <c r="C732" s="370"/>
      <c r="D732" s="370"/>
      <c r="E732" s="177">
        <v>0</v>
      </c>
      <c r="F732" s="177">
        <v>1338626.5</v>
      </c>
      <c r="G732" s="25"/>
      <c r="H732" s="177" t="s">
        <v>921</v>
      </c>
      <c r="I732" s="25"/>
      <c r="J732" s="177">
        <v>1338626.49</v>
      </c>
      <c r="K732" s="25">
        <f t="shared" si="11"/>
        <v>1338626.49</v>
      </c>
    </row>
    <row r="733" spans="1:11" ht="15.95" customHeight="1" x14ac:dyDescent="0.2">
      <c r="A733" s="156" t="s">
        <v>1218</v>
      </c>
      <c r="B733" s="369" t="s">
        <v>1219</v>
      </c>
      <c r="C733" s="370"/>
      <c r="D733" s="370"/>
      <c r="E733" s="177">
        <v>0</v>
      </c>
      <c r="F733" s="177">
        <v>1934126.05</v>
      </c>
      <c r="G733" s="25"/>
      <c r="H733" s="177" t="s">
        <v>921</v>
      </c>
      <c r="I733" s="25"/>
      <c r="J733" s="177">
        <v>1934126.04</v>
      </c>
      <c r="K733" s="25">
        <f t="shared" si="11"/>
        <v>1934126.04</v>
      </c>
    </row>
    <row r="734" spans="1:11" ht="15.95" customHeight="1" x14ac:dyDescent="0.2">
      <c r="A734" s="156" t="s">
        <v>1220</v>
      </c>
      <c r="B734" s="369" t="s">
        <v>1221</v>
      </c>
      <c r="C734" s="370"/>
      <c r="D734" s="370"/>
      <c r="E734" s="177">
        <v>0</v>
      </c>
      <c r="F734" s="177">
        <v>500064</v>
      </c>
      <c r="G734" s="25"/>
      <c r="H734" s="177">
        <v>0</v>
      </c>
      <c r="I734" s="25"/>
      <c r="J734" s="177">
        <v>500064</v>
      </c>
      <c r="K734" s="25">
        <f t="shared" si="11"/>
        <v>500064</v>
      </c>
    </row>
    <row r="735" spans="1:11" ht="15.95" customHeight="1" x14ac:dyDescent="0.2">
      <c r="A735" s="156">
        <v>4110104</v>
      </c>
      <c r="B735" s="369" t="s">
        <v>1222</v>
      </c>
      <c r="C735" s="370"/>
      <c r="D735" s="370"/>
      <c r="E735" s="177">
        <v>0</v>
      </c>
      <c r="F735" s="177">
        <v>4080.87</v>
      </c>
      <c r="G735" s="25"/>
      <c r="H735" s="177">
        <v>0</v>
      </c>
      <c r="I735" s="25"/>
      <c r="J735" s="177">
        <v>4080.87</v>
      </c>
      <c r="K735" s="25">
        <f t="shared" si="11"/>
        <v>4080.87</v>
      </c>
    </row>
    <row r="736" spans="1:11" ht="15.95" customHeight="1" x14ac:dyDescent="0.2">
      <c r="A736" s="156" t="s">
        <v>1223</v>
      </c>
      <c r="B736" s="369" t="s">
        <v>1224</v>
      </c>
      <c r="C736" s="370"/>
      <c r="D736" s="370"/>
      <c r="E736" s="177">
        <v>0</v>
      </c>
      <c r="F736" s="177">
        <v>150</v>
      </c>
      <c r="G736" s="25"/>
      <c r="H736" s="177">
        <v>0</v>
      </c>
      <c r="I736" s="25"/>
      <c r="J736" s="177">
        <v>150</v>
      </c>
      <c r="K736" s="25">
        <f t="shared" si="11"/>
        <v>150</v>
      </c>
    </row>
    <row r="737" spans="1:12" ht="15.95" customHeight="1" x14ac:dyDescent="0.2">
      <c r="A737" s="156" t="s">
        <v>1225</v>
      </c>
      <c r="B737" s="369" t="s">
        <v>182</v>
      </c>
      <c r="C737" s="370"/>
      <c r="D737" s="370"/>
      <c r="E737" s="177">
        <v>0</v>
      </c>
      <c r="F737" s="177">
        <v>128</v>
      </c>
      <c r="G737" s="25"/>
      <c r="H737" s="177">
        <v>0</v>
      </c>
      <c r="I737" s="25"/>
      <c r="J737" s="177">
        <v>128</v>
      </c>
      <c r="K737" s="25">
        <f t="shared" si="11"/>
        <v>128</v>
      </c>
    </row>
    <row r="738" spans="1:12" ht="15.95" customHeight="1" x14ac:dyDescent="0.2">
      <c r="A738" s="156" t="s">
        <v>1226</v>
      </c>
      <c r="B738" s="369" t="s">
        <v>1227</v>
      </c>
      <c r="C738" s="370"/>
      <c r="D738" s="370"/>
      <c r="E738" s="177">
        <v>0</v>
      </c>
      <c r="F738" s="177">
        <v>7.55</v>
      </c>
      <c r="G738" s="25"/>
      <c r="H738" s="177">
        <v>0</v>
      </c>
      <c r="I738" s="25"/>
      <c r="J738" s="177">
        <v>7.55</v>
      </c>
      <c r="K738" s="25">
        <f t="shared" si="11"/>
        <v>7.55</v>
      </c>
    </row>
    <row r="739" spans="1:12" ht="15.95" customHeight="1" x14ac:dyDescent="0.2">
      <c r="A739" s="156" t="s">
        <v>1228</v>
      </c>
      <c r="B739" s="369" t="s">
        <v>194</v>
      </c>
      <c r="C739" s="370"/>
      <c r="D739" s="370"/>
      <c r="E739" s="177">
        <v>0</v>
      </c>
      <c r="F739" s="177">
        <v>2550.87</v>
      </c>
      <c r="G739" s="25"/>
      <c r="H739" s="177">
        <v>0</v>
      </c>
      <c r="I739" s="25"/>
      <c r="J739" s="177">
        <v>2550.87</v>
      </c>
      <c r="K739" s="25">
        <f t="shared" si="11"/>
        <v>2550.87</v>
      </c>
    </row>
    <row r="740" spans="1:12" ht="15.95" customHeight="1" x14ac:dyDescent="0.2">
      <c r="A740" s="156" t="s">
        <v>1229</v>
      </c>
      <c r="B740" s="369" t="s">
        <v>1230</v>
      </c>
      <c r="C740" s="370"/>
      <c r="D740" s="370"/>
      <c r="E740" s="177">
        <v>0</v>
      </c>
      <c r="F740" s="177">
        <v>275</v>
      </c>
      <c r="G740" s="25"/>
      <c r="H740" s="177">
        <v>0</v>
      </c>
      <c r="I740" s="25"/>
      <c r="J740" s="177">
        <v>275</v>
      </c>
      <c r="K740" s="25">
        <f t="shared" si="11"/>
        <v>275</v>
      </c>
    </row>
    <row r="741" spans="1:12" ht="15.95" customHeight="1" x14ac:dyDescent="0.2">
      <c r="A741" s="156" t="s">
        <v>1231</v>
      </c>
      <c r="B741" s="369" t="s">
        <v>1232</v>
      </c>
      <c r="C741" s="370"/>
      <c r="D741" s="370"/>
      <c r="E741" s="177">
        <v>0</v>
      </c>
      <c r="F741" s="177">
        <v>1.9</v>
      </c>
      <c r="G741" s="25"/>
      <c r="H741" s="177">
        <v>0</v>
      </c>
      <c r="I741" s="25"/>
      <c r="J741" s="177">
        <v>1.9</v>
      </c>
      <c r="K741" s="25">
        <f t="shared" si="11"/>
        <v>1.9</v>
      </c>
    </row>
    <row r="742" spans="1:12" ht="15.95" customHeight="1" x14ac:dyDescent="0.2">
      <c r="A742" s="156" t="s">
        <v>1233</v>
      </c>
      <c r="B742" s="369" t="s">
        <v>1234</v>
      </c>
      <c r="C742" s="370"/>
      <c r="D742" s="370"/>
      <c r="E742" s="177">
        <v>0</v>
      </c>
      <c r="F742" s="177">
        <v>163</v>
      </c>
      <c r="G742" s="25"/>
      <c r="H742" s="177">
        <v>0</v>
      </c>
      <c r="I742" s="25"/>
      <c r="J742" s="177">
        <v>163</v>
      </c>
      <c r="K742" s="25">
        <f t="shared" si="11"/>
        <v>163</v>
      </c>
    </row>
    <row r="743" spans="1:12" ht="15.95" customHeight="1" x14ac:dyDescent="0.2">
      <c r="A743" s="156" t="s">
        <v>1235</v>
      </c>
      <c r="B743" s="369" t="s">
        <v>1236</v>
      </c>
      <c r="C743" s="370"/>
      <c r="D743" s="370"/>
      <c r="E743" s="177">
        <v>0</v>
      </c>
      <c r="F743" s="177">
        <v>562</v>
      </c>
      <c r="G743" s="25"/>
      <c r="H743" s="177">
        <v>0</v>
      </c>
      <c r="I743" s="25"/>
      <c r="J743" s="177">
        <v>562</v>
      </c>
      <c r="K743" s="25">
        <f t="shared" si="11"/>
        <v>562</v>
      </c>
    </row>
    <row r="744" spans="1:12" ht="15.95" customHeight="1" x14ac:dyDescent="0.2">
      <c r="A744" s="156" t="s">
        <v>1863</v>
      </c>
      <c r="B744" s="369" t="s">
        <v>196</v>
      </c>
      <c r="C744" s="370"/>
      <c r="D744" s="370"/>
      <c r="E744" s="177">
        <v>0</v>
      </c>
      <c r="F744" s="177">
        <v>242.55</v>
      </c>
      <c r="G744" s="25"/>
      <c r="H744" s="177">
        <v>0</v>
      </c>
      <c r="I744" s="25"/>
      <c r="J744" s="177">
        <v>242.55</v>
      </c>
      <c r="K744" s="25">
        <f t="shared" si="11"/>
        <v>242.55</v>
      </c>
    </row>
    <row r="745" spans="1:12" ht="15.95" customHeight="1" x14ac:dyDescent="0.2">
      <c r="A745" s="156">
        <v>4110105</v>
      </c>
      <c r="B745" s="369" t="s">
        <v>1237</v>
      </c>
      <c r="C745" s="370"/>
      <c r="D745" s="370"/>
      <c r="E745" s="177">
        <v>0</v>
      </c>
      <c r="F745" s="177">
        <v>14292946</v>
      </c>
      <c r="G745" s="25"/>
      <c r="H745" s="177">
        <v>753086.49</v>
      </c>
      <c r="I745" s="25"/>
      <c r="J745" s="177">
        <v>13539859.51</v>
      </c>
      <c r="K745" s="25">
        <f t="shared" si="11"/>
        <v>13539859.51</v>
      </c>
    </row>
    <row r="746" spans="1:12" ht="15.95" customHeight="1" x14ac:dyDescent="0.2">
      <c r="A746" s="156" t="s">
        <v>1238</v>
      </c>
      <c r="B746" s="369" t="s">
        <v>1239</v>
      </c>
      <c r="C746" s="370"/>
      <c r="D746" s="370"/>
      <c r="E746" s="177">
        <v>0</v>
      </c>
      <c r="F746" s="177">
        <v>637332.27</v>
      </c>
      <c r="G746" s="25"/>
      <c r="H746" s="177">
        <v>0</v>
      </c>
      <c r="I746" s="25"/>
      <c r="J746" s="177">
        <v>637332.27</v>
      </c>
      <c r="K746" s="25">
        <f t="shared" si="11"/>
        <v>637332.27</v>
      </c>
    </row>
    <row r="747" spans="1:12" ht="15.95" customHeight="1" x14ac:dyDescent="0.2">
      <c r="A747" s="156" t="s">
        <v>1240</v>
      </c>
      <c r="B747" s="369" t="s">
        <v>1241</v>
      </c>
      <c r="C747" s="370"/>
      <c r="D747" s="370"/>
      <c r="E747" s="177">
        <v>0</v>
      </c>
      <c r="F747" s="177">
        <v>2813973.42</v>
      </c>
      <c r="G747" s="25"/>
      <c r="H747" s="177">
        <v>160332.4</v>
      </c>
      <c r="I747" s="25"/>
      <c r="J747" s="177">
        <v>2653641.02</v>
      </c>
      <c r="K747" s="25">
        <f t="shared" si="11"/>
        <v>2653641.02</v>
      </c>
    </row>
    <row r="748" spans="1:12" ht="15.95" customHeight="1" x14ac:dyDescent="0.2">
      <c r="A748" s="156" t="s">
        <v>1864</v>
      </c>
      <c r="B748" s="369" t="s">
        <v>1370</v>
      </c>
      <c r="C748" s="370"/>
      <c r="D748" s="370"/>
      <c r="E748" s="177">
        <v>0</v>
      </c>
      <c r="F748" s="177">
        <v>8</v>
      </c>
      <c r="G748" s="25"/>
      <c r="H748" s="177">
        <v>0</v>
      </c>
      <c r="I748" s="25"/>
      <c r="J748" s="177">
        <v>8</v>
      </c>
      <c r="K748" s="25">
        <f t="shared" si="11"/>
        <v>8</v>
      </c>
    </row>
    <row r="749" spans="1:12" ht="15.95" customHeight="1" x14ac:dyDescent="0.2">
      <c r="A749" s="156" t="s">
        <v>1242</v>
      </c>
      <c r="B749" s="369" t="s">
        <v>1243</v>
      </c>
      <c r="C749" s="370"/>
      <c r="D749" s="370"/>
      <c r="E749" s="177">
        <v>0</v>
      </c>
      <c r="F749" s="177">
        <v>1807124.52</v>
      </c>
      <c r="G749" s="25"/>
      <c r="H749" s="177">
        <v>0</v>
      </c>
      <c r="I749" s="25"/>
      <c r="J749" s="177">
        <v>1807124.52</v>
      </c>
      <c r="K749" s="25">
        <f t="shared" si="11"/>
        <v>1807124.52</v>
      </c>
    </row>
    <row r="750" spans="1:12" ht="15.95" customHeight="1" x14ac:dyDescent="0.2">
      <c r="A750" s="156" t="s">
        <v>1244</v>
      </c>
      <c r="B750" s="369" t="s">
        <v>1245</v>
      </c>
      <c r="C750" s="370"/>
      <c r="D750" s="370"/>
      <c r="E750" s="177">
        <v>0</v>
      </c>
      <c r="F750" s="177">
        <v>52000</v>
      </c>
      <c r="G750" s="25"/>
      <c r="H750" s="177">
        <v>0</v>
      </c>
      <c r="I750" s="25"/>
      <c r="J750" s="177">
        <v>52000</v>
      </c>
      <c r="K750" s="25">
        <f t="shared" si="11"/>
        <v>52000</v>
      </c>
    </row>
    <row r="751" spans="1:12" ht="15.95" customHeight="1" x14ac:dyDescent="0.2">
      <c r="A751" s="158" t="s">
        <v>1246</v>
      </c>
      <c r="B751" s="371" t="s">
        <v>1247</v>
      </c>
      <c r="C751" s="372"/>
      <c r="D751" s="372"/>
      <c r="E751" s="178">
        <v>0</v>
      </c>
      <c r="F751" s="178">
        <v>73688.990000000005</v>
      </c>
      <c r="G751" s="31"/>
      <c r="H751" s="178">
        <v>592754.09</v>
      </c>
      <c r="I751" s="31"/>
      <c r="J751" s="178">
        <v>-519065.1</v>
      </c>
      <c r="K751" s="31">
        <f t="shared" si="11"/>
        <v>-519065.1</v>
      </c>
    </row>
    <row r="752" spans="1:12" ht="15.95" customHeight="1" x14ac:dyDescent="0.2">
      <c r="A752" s="158" t="s">
        <v>1248</v>
      </c>
      <c r="B752" s="371" t="s">
        <v>1249</v>
      </c>
      <c r="C752" s="372"/>
      <c r="D752" s="372"/>
      <c r="E752" s="178">
        <v>0</v>
      </c>
      <c r="F752" s="178">
        <v>8908818.8000000007</v>
      </c>
      <c r="G752" s="31"/>
      <c r="H752" s="178">
        <v>0</v>
      </c>
      <c r="I752" s="31"/>
      <c r="J752" s="178">
        <v>8908818.8000000007</v>
      </c>
      <c r="K752" s="31">
        <f t="shared" si="11"/>
        <v>8908818.8000000007</v>
      </c>
      <c r="L752" s="25">
        <f>K752+K829+K830</f>
        <v>11973506.670000002</v>
      </c>
    </row>
    <row r="753" spans="1:11" ht="15.95" customHeight="1" x14ac:dyDescent="0.2">
      <c r="A753" s="156">
        <v>5</v>
      </c>
      <c r="B753" s="369" t="s">
        <v>1250</v>
      </c>
      <c r="C753" s="370"/>
      <c r="D753" s="370"/>
      <c r="E753" s="177">
        <v>0</v>
      </c>
      <c r="F753" s="177">
        <v>22880729.870000001</v>
      </c>
      <c r="G753" s="25"/>
      <c r="H753" s="177">
        <v>1898396.02</v>
      </c>
      <c r="I753" s="25"/>
      <c r="J753" s="177">
        <v>20982333.850000001</v>
      </c>
      <c r="K753" s="25">
        <f t="shared" si="11"/>
        <v>20982333.850000001</v>
      </c>
    </row>
    <row r="754" spans="1:11" ht="15.95" customHeight="1" x14ac:dyDescent="0.2">
      <c r="A754" s="156">
        <v>51</v>
      </c>
      <c r="B754" s="369" t="s">
        <v>1250</v>
      </c>
      <c r="C754" s="370"/>
      <c r="D754" s="370"/>
      <c r="E754" s="177">
        <v>0</v>
      </c>
      <c r="F754" s="177">
        <v>20586983.140000001</v>
      </c>
      <c r="G754" s="25"/>
      <c r="H754" s="177">
        <v>855130.57</v>
      </c>
      <c r="I754" s="25"/>
      <c r="J754" s="177">
        <v>19731852.57</v>
      </c>
      <c r="K754" s="25">
        <f t="shared" si="11"/>
        <v>19731852.57</v>
      </c>
    </row>
    <row r="755" spans="1:11" ht="15.95" customHeight="1" x14ac:dyDescent="0.2">
      <c r="A755" s="156">
        <v>511</v>
      </c>
      <c r="B755" s="369" t="s">
        <v>1251</v>
      </c>
      <c r="C755" s="370"/>
      <c r="D755" s="370"/>
      <c r="E755" s="177">
        <v>0</v>
      </c>
      <c r="F755" s="177">
        <v>20586983.140000001</v>
      </c>
      <c r="G755" s="25"/>
      <c r="H755" s="177">
        <v>855130.57</v>
      </c>
      <c r="I755" s="25"/>
      <c r="J755" s="177">
        <v>19731852.57</v>
      </c>
      <c r="K755" s="25">
        <f t="shared" si="11"/>
        <v>19731852.57</v>
      </c>
    </row>
    <row r="756" spans="1:11" ht="15.95" customHeight="1" x14ac:dyDescent="0.2">
      <c r="A756" s="156">
        <v>51101</v>
      </c>
      <c r="B756" s="369" t="s">
        <v>1251</v>
      </c>
      <c r="C756" s="370"/>
      <c r="D756" s="370"/>
      <c r="E756" s="177">
        <v>0</v>
      </c>
      <c r="F756" s="177">
        <v>20586983.140000001</v>
      </c>
      <c r="G756" s="25"/>
      <c r="H756" s="177">
        <v>855130.57</v>
      </c>
      <c r="I756" s="25"/>
      <c r="J756" s="177">
        <v>19731852.57</v>
      </c>
      <c r="K756" s="25">
        <f t="shared" si="11"/>
        <v>19731852.57</v>
      </c>
    </row>
    <row r="757" spans="1:11" ht="15.95" customHeight="1" x14ac:dyDescent="0.2">
      <c r="A757" s="156">
        <v>5110101</v>
      </c>
      <c r="B757" s="369" t="s">
        <v>1252</v>
      </c>
      <c r="C757" s="370"/>
      <c r="D757" s="370"/>
      <c r="E757" s="177">
        <v>0</v>
      </c>
      <c r="F757" s="177">
        <v>12424901.960000001</v>
      </c>
      <c r="G757" s="25"/>
      <c r="H757" s="177">
        <v>759103.66</v>
      </c>
      <c r="I757" s="25"/>
      <c r="J757" s="177">
        <v>11665798.300000001</v>
      </c>
      <c r="K757" s="25">
        <f t="shared" si="11"/>
        <v>11665798.300000001</v>
      </c>
    </row>
    <row r="758" spans="1:11" ht="27.95" customHeight="1" x14ac:dyDescent="0.2">
      <c r="A758" s="156" t="s">
        <v>1253</v>
      </c>
      <c r="B758" s="369" t="s">
        <v>1164</v>
      </c>
      <c r="C758" s="370"/>
      <c r="D758" s="370"/>
      <c r="E758" s="177">
        <v>0</v>
      </c>
      <c r="F758" s="177">
        <v>3302545.82</v>
      </c>
      <c r="G758" s="25"/>
      <c r="H758" s="177">
        <v>81851.820000000007</v>
      </c>
      <c r="I758" s="25"/>
      <c r="J758" s="177">
        <v>3220694</v>
      </c>
      <c r="K758" s="25">
        <f t="shared" si="11"/>
        <v>3220694</v>
      </c>
    </row>
    <row r="759" spans="1:11" ht="15.95" customHeight="1" x14ac:dyDescent="0.2">
      <c r="A759" s="156" t="s">
        <v>1254</v>
      </c>
      <c r="B759" s="369" t="s">
        <v>1166</v>
      </c>
      <c r="C759" s="370"/>
      <c r="D759" s="370"/>
      <c r="E759" s="177">
        <v>0</v>
      </c>
      <c r="F759" s="177">
        <v>915580.13</v>
      </c>
      <c r="G759" s="25"/>
      <c r="H759" s="177">
        <v>210.6</v>
      </c>
      <c r="I759" s="25"/>
      <c r="J759" s="177">
        <v>915369.53</v>
      </c>
      <c r="K759" s="25">
        <f t="shared" si="11"/>
        <v>915369.53</v>
      </c>
    </row>
    <row r="760" spans="1:11" ht="15.95" customHeight="1" x14ac:dyDescent="0.2">
      <c r="A760" s="156" t="s">
        <v>1255</v>
      </c>
      <c r="B760" s="369" t="s">
        <v>1186</v>
      </c>
      <c r="C760" s="370"/>
      <c r="D760" s="370"/>
      <c r="E760" s="177">
        <v>0</v>
      </c>
      <c r="F760" s="177">
        <v>278690.2</v>
      </c>
      <c r="G760" s="25"/>
      <c r="H760" s="177">
        <v>22393.62</v>
      </c>
      <c r="I760" s="25"/>
      <c r="J760" s="177">
        <v>256296.58</v>
      </c>
      <c r="K760" s="25">
        <f t="shared" si="11"/>
        <v>256296.58</v>
      </c>
    </row>
    <row r="761" spans="1:11" ht="15.95" customHeight="1" x14ac:dyDescent="0.2">
      <c r="A761" s="156" t="s">
        <v>1256</v>
      </c>
      <c r="B761" s="369" t="s">
        <v>1257</v>
      </c>
      <c r="C761" s="370"/>
      <c r="D761" s="370"/>
      <c r="E761" s="177">
        <v>0</v>
      </c>
      <c r="F761" s="177">
        <v>251626.81</v>
      </c>
      <c r="G761" s="25"/>
      <c r="H761" s="177">
        <v>0</v>
      </c>
      <c r="I761" s="25"/>
      <c r="J761" s="177">
        <v>251626.81</v>
      </c>
      <c r="K761" s="25">
        <f t="shared" si="11"/>
        <v>251626.81</v>
      </c>
    </row>
    <row r="762" spans="1:11" ht="15.95" customHeight="1" x14ac:dyDescent="0.2">
      <c r="A762" s="156" t="s">
        <v>1258</v>
      </c>
      <c r="B762" s="369" t="s">
        <v>1176</v>
      </c>
      <c r="C762" s="370"/>
      <c r="D762" s="370"/>
      <c r="E762" s="177">
        <v>0</v>
      </c>
      <c r="F762" s="177">
        <v>1963151.66</v>
      </c>
      <c r="G762" s="25"/>
      <c r="H762" s="177">
        <v>67015.100000000006</v>
      </c>
      <c r="I762" s="25"/>
      <c r="J762" s="177">
        <v>1896136.56</v>
      </c>
      <c r="K762" s="25">
        <f t="shared" si="11"/>
        <v>1896136.56</v>
      </c>
    </row>
    <row r="763" spans="1:11" ht="15.95" customHeight="1" x14ac:dyDescent="0.2">
      <c r="A763" s="156" t="s">
        <v>1259</v>
      </c>
      <c r="B763" s="369" t="s">
        <v>1178</v>
      </c>
      <c r="C763" s="370"/>
      <c r="D763" s="370"/>
      <c r="E763" s="177">
        <v>0</v>
      </c>
      <c r="F763" s="177">
        <v>834548.89</v>
      </c>
      <c r="G763" s="25"/>
      <c r="H763" s="177">
        <v>20061.88</v>
      </c>
      <c r="I763" s="25"/>
      <c r="J763" s="177">
        <v>814487.01</v>
      </c>
      <c r="K763" s="25">
        <f t="shared" si="11"/>
        <v>814487.01</v>
      </c>
    </row>
    <row r="764" spans="1:11" ht="15.95" customHeight="1" x14ac:dyDescent="0.2">
      <c r="A764" s="156" t="s">
        <v>1260</v>
      </c>
      <c r="B764" s="369" t="s">
        <v>1261</v>
      </c>
      <c r="C764" s="370"/>
      <c r="D764" s="370"/>
      <c r="E764" s="177">
        <v>0</v>
      </c>
      <c r="F764" s="177">
        <v>437083.04</v>
      </c>
      <c r="G764" s="25"/>
      <c r="H764" s="177">
        <v>19607.39</v>
      </c>
      <c r="I764" s="25"/>
      <c r="J764" s="177">
        <v>417475.65</v>
      </c>
      <c r="K764" s="25">
        <f t="shared" si="11"/>
        <v>417475.65</v>
      </c>
    </row>
    <row r="765" spans="1:11" ht="15.95" customHeight="1" x14ac:dyDescent="0.2">
      <c r="A765" s="156" t="s">
        <v>1262</v>
      </c>
      <c r="B765" s="369" t="s">
        <v>1263</v>
      </c>
      <c r="C765" s="370"/>
      <c r="D765" s="370"/>
      <c r="E765" s="177">
        <v>0</v>
      </c>
      <c r="F765" s="177">
        <v>794014.68</v>
      </c>
      <c r="G765" s="25"/>
      <c r="H765" s="177">
        <v>322181.59000000003</v>
      </c>
      <c r="I765" s="25"/>
      <c r="J765" s="177">
        <v>471833.09</v>
      </c>
      <c r="K765" s="25">
        <f t="shared" si="11"/>
        <v>471833.09</v>
      </c>
    </row>
    <row r="766" spans="1:11" ht="15.95" customHeight="1" x14ac:dyDescent="0.2">
      <c r="A766" s="156" t="s">
        <v>1264</v>
      </c>
      <c r="B766" s="369" t="s">
        <v>1184</v>
      </c>
      <c r="C766" s="370"/>
      <c r="D766" s="370"/>
      <c r="E766" s="177">
        <v>0</v>
      </c>
      <c r="F766" s="177">
        <v>2094.4499999999998</v>
      </c>
      <c r="G766" s="25"/>
      <c r="H766" s="177">
        <v>813.78</v>
      </c>
      <c r="I766" s="25"/>
      <c r="J766" s="177">
        <v>1280.67</v>
      </c>
      <c r="K766" s="25">
        <f t="shared" si="11"/>
        <v>1280.67</v>
      </c>
    </row>
    <row r="767" spans="1:11" ht="15.95" customHeight="1" x14ac:dyDescent="0.2">
      <c r="A767" s="156" t="s">
        <v>1265</v>
      </c>
      <c r="B767" s="369" t="s">
        <v>1266</v>
      </c>
      <c r="C767" s="370"/>
      <c r="D767" s="370"/>
      <c r="E767" s="177">
        <v>0</v>
      </c>
      <c r="F767" s="177">
        <v>1073150.49</v>
      </c>
      <c r="G767" s="25"/>
      <c r="H767" s="177">
        <v>161610.13</v>
      </c>
      <c r="I767" s="25"/>
      <c r="J767" s="177">
        <v>911540.36</v>
      </c>
      <c r="K767" s="25">
        <f t="shared" si="11"/>
        <v>911540.36</v>
      </c>
    </row>
    <row r="768" spans="1:11" ht="15.95" customHeight="1" x14ac:dyDescent="0.2">
      <c r="A768" s="156" t="s">
        <v>1267</v>
      </c>
      <c r="B768" s="369" t="s">
        <v>1198</v>
      </c>
      <c r="C768" s="370"/>
      <c r="D768" s="370"/>
      <c r="E768" s="177">
        <v>0</v>
      </c>
      <c r="F768" s="177">
        <v>526092.55000000005</v>
      </c>
      <c r="G768" s="25"/>
      <c r="H768" s="177">
        <v>22215.81</v>
      </c>
      <c r="I768" s="25"/>
      <c r="J768" s="177">
        <v>503876.74</v>
      </c>
      <c r="K768" s="25">
        <f t="shared" si="11"/>
        <v>503876.74</v>
      </c>
    </row>
    <row r="769" spans="1:11" ht="15.95" customHeight="1" x14ac:dyDescent="0.2">
      <c r="A769" s="156" t="s">
        <v>1268</v>
      </c>
      <c r="B769" s="369" t="s">
        <v>1269</v>
      </c>
      <c r="C769" s="370"/>
      <c r="D769" s="370"/>
      <c r="E769" s="177">
        <v>0</v>
      </c>
      <c r="F769" s="177">
        <v>249678.67</v>
      </c>
      <c r="G769" s="25"/>
      <c r="H769" s="177">
        <v>5937.5</v>
      </c>
      <c r="I769" s="25"/>
      <c r="J769" s="177">
        <v>243741.17</v>
      </c>
      <c r="K769" s="25">
        <f t="shared" si="11"/>
        <v>243741.17</v>
      </c>
    </row>
    <row r="770" spans="1:11" ht="15.95" customHeight="1" x14ac:dyDescent="0.2">
      <c r="A770" s="156" t="s">
        <v>1270</v>
      </c>
      <c r="B770" s="369" t="s">
        <v>658</v>
      </c>
      <c r="C770" s="370"/>
      <c r="D770" s="370"/>
      <c r="E770" s="177">
        <v>0</v>
      </c>
      <c r="F770" s="177">
        <v>7958.7</v>
      </c>
      <c r="G770" s="25"/>
      <c r="H770" s="177">
        <v>0</v>
      </c>
      <c r="I770" s="25"/>
      <c r="J770" s="177">
        <v>7958.7</v>
      </c>
      <c r="K770" s="25">
        <f t="shared" si="11"/>
        <v>7958.7</v>
      </c>
    </row>
    <row r="771" spans="1:11" ht="15.95" customHeight="1" x14ac:dyDescent="0.2">
      <c r="A771" s="156" t="s">
        <v>1271</v>
      </c>
      <c r="B771" s="369" t="s">
        <v>1272</v>
      </c>
      <c r="C771" s="370"/>
      <c r="D771" s="370"/>
      <c r="E771" s="177">
        <v>0</v>
      </c>
      <c r="F771" s="177">
        <v>41525.03</v>
      </c>
      <c r="G771" s="25"/>
      <c r="H771" s="177">
        <v>0</v>
      </c>
      <c r="I771" s="25"/>
      <c r="J771" s="177">
        <v>41525.03</v>
      </c>
      <c r="K771" s="25">
        <f t="shared" si="11"/>
        <v>41525.03</v>
      </c>
    </row>
    <row r="772" spans="1:11" ht="15.95" customHeight="1" x14ac:dyDescent="0.2">
      <c r="A772" s="156" t="s">
        <v>1865</v>
      </c>
      <c r="B772" s="369" t="s">
        <v>1866</v>
      </c>
      <c r="C772" s="370"/>
      <c r="D772" s="370"/>
      <c r="E772" s="177">
        <v>0</v>
      </c>
      <c r="F772" s="177">
        <v>3290</v>
      </c>
      <c r="G772" s="25"/>
      <c r="H772" s="177">
        <v>0</v>
      </c>
      <c r="I772" s="25"/>
      <c r="J772" s="177">
        <v>3290</v>
      </c>
      <c r="K772" s="25">
        <f t="shared" ref="K772:K835" si="12">J772-E772</f>
        <v>3290</v>
      </c>
    </row>
    <row r="773" spans="1:11" ht="15.95" customHeight="1" x14ac:dyDescent="0.2">
      <c r="A773" s="156" t="s">
        <v>1273</v>
      </c>
      <c r="B773" s="369" t="s">
        <v>1274</v>
      </c>
      <c r="C773" s="370"/>
      <c r="D773" s="370"/>
      <c r="E773" s="177">
        <v>0</v>
      </c>
      <c r="F773" s="177">
        <v>66556.539999999994</v>
      </c>
      <c r="G773" s="25"/>
      <c r="H773" s="177">
        <v>16722.310000000001</v>
      </c>
      <c r="I773" s="25"/>
      <c r="J773" s="177">
        <v>49834.23</v>
      </c>
      <c r="K773" s="25">
        <f t="shared" si="12"/>
        <v>49834.23</v>
      </c>
    </row>
    <row r="774" spans="1:11" ht="15.95" customHeight="1" x14ac:dyDescent="0.2">
      <c r="A774" s="156" t="s">
        <v>1275</v>
      </c>
      <c r="B774" s="369" t="s">
        <v>1188</v>
      </c>
      <c r="C774" s="370"/>
      <c r="D774" s="370"/>
      <c r="E774" s="177">
        <v>0</v>
      </c>
      <c r="F774" s="177">
        <v>99258.63</v>
      </c>
      <c r="G774" s="25"/>
      <c r="H774" s="177">
        <v>0</v>
      </c>
      <c r="I774" s="25"/>
      <c r="J774" s="177">
        <v>99258.63</v>
      </c>
      <c r="K774" s="25">
        <f t="shared" si="12"/>
        <v>99258.63</v>
      </c>
    </row>
    <row r="775" spans="1:11" ht="15.95" customHeight="1" x14ac:dyDescent="0.2">
      <c r="A775" s="156" t="s">
        <v>1276</v>
      </c>
      <c r="B775" s="369" t="s">
        <v>1180</v>
      </c>
      <c r="C775" s="370"/>
      <c r="D775" s="370"/>
      <c r="E775" s="177">
        <v>0</v>
      </c>
      <c r="F775" s="177">
        <v>28342.62</v>
      </c>
      <c r="G775" s="25"/>
      <c r="H775" s="177">
        <v>14465.12</v>
      </c>
      <c r="I775" s="25"/>
      <c r="J775" s="177">
        <v>13877.5</v>
      </c>
      <c r="K775" s="25">
        <f t="shared" si="12"/>
        <v>13877.5</v>
      </c>
    </row>
    <row r="776" spans="1:11" ht="15.95" customHeight="1" x14ac:dyDescent="0.2">
      <c r="A776" s="156" t="s">
        <v>1277</v>
      </c>
      <c r="B776" s="369" t="s">
        <v>1190</v>
      </c>
      <c r="C776" s="370"/>
      <c r="D776" s="370"/>
      <c r="E776" s="177">
        <v>0</v>
      </c>
      <c r="F776" s="177">
        <v>44210.28</v>
      </c>
      <c r="G776" s="25"/>
      <c r="H776" s="177">
        <v>2635.06</v>
      </c>
      <c r="I776" s="25"/>
      <c r="J776" s="177">
        <v>41575.22</v>
      </c>
      <c r="K776" s="25">
        <f t="shared" si="12"/>
        <v>41575.22</v>
      </c>
    </row>
    <row r="777" spans="1:11" ht="15.95" customHeight="1" x14ac:dyDescent="0.2">
      <c r="A777" s="156" t="s">
        <v>1278</v>
      </c>
      <c r="B777" s="369" t="s">
        <v>1279</v>
      </c>
      <c r="C777" s="370"/>
      <c r="D777" s="370"/>
      <c r="E777" s="177">
        <v>0</v>
      </c>
      <c r="F777" s="177">
        <v>4102.8</v>
      </c>
      <c r="G777" s="25"/>
      <c r="H777" s="177">
        <v>78</v>
      </c>
      <c r="I777" s="25"/>
      <c r="J777" s="177">
        <v>4024.8</v>
      </c>
      <c r="K777" s="25">
        <f t="shared" si="12"/>
        <v>4024.8</v>
      </c>
    </row>
    <row r="778" spans="1:11" ht="15.95" customHeight="1" x14ac:dyDescent="0.2">
      <c r="A778" s="156" t="s">
        <v>1280</v>
      </c>
      <c r="B778" s="369" t="s">
        <v>1192</v>
      </c>
      <c r="C778" s="370"/>
      <c r="D778" s="370"/>
      <c r="E778" s="177">
        <v>0</v>
      </c>
      <c r="F778" s="177">
        <v>24253.56</v>
      </c>
      <c r="G778" s="25"/>
      <c r="H778" s="177">
        <v>1303.95</v>
      </c>
      <c r="I778" s="25"/>
      <c r="J778" s="177">
        <v>22949.61</v>
      </c>
      <c r="K778" s="25">
        <f t="shared" si="12"/>
        <v>22949.61</v>
      </c>
    </row>
    <row r="779" spans="1:11" ht="15.95" customHeight="1" x14ac:dyDescent="0.2">
      <c r="A779" s="156" t="s">
        <v>1281</v>
      </c>
      <c r="B779" s="369" t="s">
        <v>1200</v>
      </c>
      <c r="C779" s="370"/>
      <c r="D779" s="370"/>
      <c r="E779" s="177">
        <v>0</v>
      </c>
      <c r="F779" s="177">
        <v>623115.05000000005</v>
      </c>
      <c r="G779" s="25"/>
      <c r="H779" s="177">
        <v>0</v>
      </c>
      <c r="I779" s="25"/>
      <c r="J779" s="177">
        <v>623115.05000000005</v>
      </c>
      <c r="K779" s="25">
        <f t="shared" si="12"/>
        <v>623115.05000000005</v>
      </c>
    </row>
    <row r="780" spans="1:11" ht="15.95" customHeight="1" x14ac:dyDescent="0.2">
      <c r="A780" s="156" t="s">
        <v>1282</v>
      </c>
      <c r="B780" s="369" t="s">
        <v>1283</v>
      </c>
      <c r="C780" s="370"/>
      <c r="D780" s="370"/>
      <c r="E780" s="177">
        <v>0</v>
      </c>
      <c r="F780" s="177">
        <v>685856.52</v>
      </c>
      <c r="G780" s="25"/>
      <c r="H780" s="177">
        <v>0</v>
      </c>
      <c r="I780" s="25"/>
      <c r="J780" s="177">
        <v>685856.52</v>
      </c>
      <c r="K780" s="25">
        <f t="shared" si="12"/>
        <v>685856.52</v>
      </c>
    </row>
    <row r="781" spans="1:11" ht="15.95" customHeight="1" x14ac:dyDescent="0.2">
      <c r="A781" s="156" t="s">
        <v>1284</v>
      </c>
      <c r="B781" s="369" t="s">
        <v>1285</v>
      </c>
      <c r="C781" s="370"/>
      <c r="D781" s="370"/>
      <c r="E781" s="177">
        <v>0</v>
      </c>
      <c r="F781" s="177">
        <v>168174.84</v>
      </c>
      <c r="G781" s="25"/>
      <c r="H781" s="177">
        <v>0</v>
      </c>
      <c r="I781" s="25"/>
      <c r="J781" s="177">
        <v>168174.84</v>
      </c>
      <c r="K781" s="25">
        <f t="shared" si="12"/>
        <v>168174.84</v>
      </c>
    </row>
    <row r="782" spans="1:11" ht="15.95" customHeight="1" x14ac:dyDescent="0.2">
      <c r="A782" s="156">
        <v>5110102</v>
      </c>
      <c r="B782" s="369" t="s">
        <v>1286</v>
      </c>
      <c r="C782" s="370"/>
      <c r="D782" s="370"/>
      <c r="E782" s="177">
        <v>0</v>
      </c>
      <c r="F782" s="177">
        <v>320494.01</v>
      </c>
      <c r="G782" s="25"/>
      <c r="H782" s="177">
        <v>281.73</v>
      </c>
      <c r="I782" s="25"/>
      <c r="J782" s="177">
        <v>320212.28000000003</v>
      </c>
      <c r="K782" s="25">
        <f t="shared" si="12"/>
        <v>320212.28000000003</v>
      </c>
    </row>
    <row r="783" spans="1:11" ht="15.95" customHeight="1" x14ac:dyDescent="0.2">
      <c r="A783" s="156" t="s">
        <v>1287</v>
      </c>
      <c r="B783" s="369" t="s">
        <v>1288</v>
      </c>
      <c r="C783" s="370"/>
      <c r="D783" s="370"/>
      <c r="E783" s="177">
        <v>0</v>
      </c>
      <c r="F783" s="177">
        <v>76835.100000000006</v>
      </c>
      <c r="G783" s="25"/>
      <c r="H783" s="177">
        <v>0</v>
      </c>
      <c r="I783" s="25"/>
      <c r="J783" s="177">
        <v>76835.100000000006</v>
      </c>
      <c r="K783" s="25">
        <f t="shared" si="12"/>
        <v>76835.100000000006</v>
      </c>
    </row>
    <row r="784" spans="1:11" ht="15.95" customHeight="1" x14ac:dyDescent="0.2">
      <c r="A784" s="156" t="s">
        <v>1289</v>
      </c>
      <c r="B784" s="369" t="s">
        <v>1290</v>
      </c>
      <c r="C784" s="370"/>
      <c r="D784" s="370"/>
      <c r="E784" s="177">
        <v>0</v>
      </c>
      <c r="F784" s="177">
        <v>123196.76</v>
      </c>
      <c r="G784" s="25"/>
      <c r="H784" s="177">
        <v>281.73</v>
      </c>
      <c r="I784" s="25"/>
      <c r="J784" s="177">
        <v>122915.03</v>
      </c>
      <c r="K784" s="25">
        <f t="shared" si="12"/>
        <v>122915.03</v>
      </c>
    </row>
    <row r="785" spans="1:11" ht="15.95" customHeight="1" x14ac:dyDescent="0.2">
      <c r="A785" s="156" t="s">
        <v>1867</v>
      </c>
      <c r="B785" s="369" t="s">
        <v>1213</v>
      </c>
      <c r="C785" s="370"/>
      <c r="D785" s="370"/>
      <c r="E785" s="177">
        <v>0</v>
      </c>
      <c r="F785" s="177">
        <v>599.4</v>
      </c>
      <c r="G785" s="25"/>
      <c r="H785" s="177">
        <v>0</v>
      </c>
      <c r="I785" s="25"/>
      <c r="J785" s="177">
        <v>599.4</v>
      </c>
      <c r="K785" s="25">
        <f t="shared" si="12"/>
        <v>599.4</v>
      </c>
    </row>
    <row r="786" spans="1:11" ht="15.95" customHeight="1" x14ac:dyDescent="0.2">
      <c r="A786" s="156" t="s">
        <v>1291</v>
      </c>
      <c r="B786" s="369" t="s">
        <v>1292</v>
      </c>
      <c r="C786" s="370"/>
      <c r="D786" s="370"/>
      <c r="E786" s="177">
        <v>0</v>
      </c>
      <c r="F786" s="177">
        <v>66590.42</v>
      </c>
      <c r="G786" s="25"/>
      <c r="H786" s="177">
        <v>0</v>
      </c>
      <c r="I786" s="25"/>
      <c r="J786" s="177">
        <v>66590.42</v>
      </c>
      <c r="K786" s="25">
        <f t="shared" si="12"/>
        <v>66590.42</v>
      </c>
    </row>
    <row r="787" spans="1:11" ht="15.95" customHeight="1" x14ac:dyDescent="0.2">
      <c r="A787" s="156" t="s">
        <v>1293</v>
      </c>
      <c r="B787" s="369" t="s">
        <v>1294</v>
      </c>
      <c r="C787" s="370"/>
      <c r="D787" s="370"/>
      <c r="E787" s="177">
        <v>0</v>
      </c>
      <c r="F787" s="177">
        <v>53272.33</v>
      </c>
      <c r="G787" s="25"/>
      <c r="H787" s="177">
        <v>0</v>
      </c>
      <c r="I787" s="25"/>
      <c r="J787" s="177">
        <v>53272.33</v>
      </c>
      <c r="K787" s="25">
        <f t="shared" si="12"/>
        <v>53272.33</v>
      </c>
    </row>
    <row r="788" spans="1:11" ht="15.95" customHeight="1" x14ac:dyDescent="0.2">
      <c r="A788" s="156">
        <v>5110103</v>
      </c>
      <c r="B788" s="369" t="s">
        <v>1295</v>
      </c>
      <c r="C788" s="370"/>
      <c r="D788" s="370"/>
      <c r="E788" s="177">
        <v>0</v>
      </c>
      <c r="F788" s="177">
        <v>3490154.02</v>
      </c>
      <c r="G788" s="25"/>
      <c r="H788" s="177">
        <v>5038.28</v>
      </c>
      <c r="I788" s="25"/>
      <c r="J788" s="177">
        <v>3485115.74</v>
      </c>
      <c r="K788" s="25">
        <f t="shared" si="12"/>
        <v>3485115.74</v>
      </c>
    </row>
    <row r="789" spans="1:11" ht="15.95" customHeight="1" x14ac:dyDescent="0.2">
      <c r="A789" s="156" t="s">
        <v>1296</v>
      </c>
      <c r="B789" s="369" t="s">
        <v>1297</v>
      </c>
      <c r="C789" s="370"/>
      <c r="D789" s="370"/>
      <c r="E789" s="177">
        <v>0</v>
      </c>
      <c r="F789" s="177">
        <v>280680.78999999998</v>
      </c>
      <c r="G789" s="25"/>
      <c r="H789" s="177">
        <v>0</v>
      </c>
      <c r="I789" s="25"/>
      <c r="J789" s="177">
        <v>280680.78999999998</v>
      </c>
      <c r="K789" s="25">
        <f t="shared" si="12"/>
        <v>280680.78999999998</v>
      </c>
    </row>
    <row r="790" spans="1:11" ht="15.95" customHeight="1" x14ac:dyDescent="0.2">
      <c r="A790" s="156" t="s">
        <v>1868</v>
      </c>
      <c r="B790" s="369" t="s">
        <v>1869</v>
      </c>
      <c r="C790" s="370"/>
      <c r="D790" s="370"/>
      <c r="E790" s="177">
        <v>0</v>
      </c>
      <c r="F790" s="177">
        <v>5038.2700000000004</v>
      </c>
      <c r="G790" s="25"/>
      <c r="H790" s="177">
        <v>5038.2700000000004</v>
      </c>
      <c r="I790" s="25"/>
      <c r="J790" s="177">
        <v>0</v>
      </c>
      <c r="K790" s="25">
        <f t="shared" si="12"/>
        <v>0</v>
      </c>
    </row>
    <row r="791" spans="1:11" ht="15.95" customHeight="1" x14ac:dyDescent="0.2">
      <c r="A791" s="156" t="s">
        <v>1298</v>
      </c>
      <c r="B791" s="369" t="s">
        <v>1203</v>
      </c>
      <c r="C791" s="370"/>
      <c r="D791" s="370"/>
      <c r="E791" s="177">
        <v>0</v>
      </c>
      <c r="F791" s="177">
        <v>2930</v>
      </c>
      <c r="G791" s="25"/>
      <c r="H791" s="177">
        <v>0</v>
      </c>
      <c r="I791" s="25"/>
      <c r="J791" s="177">
        <v>2930</v>
      </c>
      <c r="K791" s="25">
        <f t="shared" si="12"/>
        <v>2930</v>
      </c>
    </row>
    <row r="792" spans="1:11" ht="15.95" customHeight="1" x14ac:dyDescent="0.2">
      <c r="A792" s="156" t="s">
        <v>1299</v>
      </c>
      <c r="B792" s="369" t="s">
        <v>1300</v>
      </c>
      <c r="C792" s="370"/>
      <c r="D792" s="370"/>
      <c r="E792" s="177">
        <v>0</v>
      </c>
      <c r="F792" s="177">
        <v>670</v>
      </c>
      <c r="G792" s="25"/>
      <c r="H792" s="177">
        <v>0</v>
      </c>
      <c r="I792" s="25"/>
      <c r="J792" s="177">
        <v>670</v>
      </c>
      <c r="K792" s="25">
        <f t="shared" si="12"/>
        <v>670</v>
      </c>
    </row>
    <row r="793" spans="1:11" ht="15.95" customHeight="1" x14ac:dyDescent="0.2">
      <c r="A793" s="156" t="s">
        <v>1301</v>
      </c>
      <c r="B793" s="369" t="s">
        <v>1302</v>
      </c>
      <c r="C793" s="370"/>
      <c r="D793" s="370"/>
      <c r="E793" s="177">
        <v>0</v>
      </c>
      <c r="F793" s="177">
        <v>27480.1</v>
      </c>
      <c r="G793" s="25"/>
      <c r="H793" s="177">
        <v>0</v>
      </c>
      <c r="I793" s="25"/>
      <c r="J793" s="177">
        <v>27480.1</v>
      </c>
      <c r="K793" s="25">
        <f t="shared" si="12"/>
        <v>27480.1</v>
      </c>
    </row>
    <row r="794" spans="1:11" ht="15.95" customHeight="1" x14ac:dyDescent="0.2">
      <c r="A794" s="156" t="s">
        <v>1303</v>
      </c>
      <c r="B794" s="369" t="s">
        <v>1304</v>
      </c>
      <c r="C794" s="370"/>
      <c r="D794" s="370"/>
      <c r="E794" s="177">
        <v>0</v>
      </c>
      <c r="F794" s="177">
        <v>557733.16</v>
      </c>
      <c r="G794" s="25"/>
      <c r="H794" s="177" t="s">
        <v>921</v>
      </c>
      <c r="I794" s="25"/>
      <c r="J794" s="177">
        <v>557733.15</v>
      </c>
      <c r="K794" s="25">
        <f t="shared" si="12"/>
        <v>557733.15</v>
      </c>
    </row>
    <row r="795" spans="1:11" ht="15.95" customHeight="1" x14ac:dyDescent="0.2">
      <c r="A795" s="156" t="s">
        <v>1305</v>
      </c>
      <c r="B795" s="369" t="s">
        <v>1306</v>
      </c>
      <c r="C795" s="370"/>
      <c r="D795" s="370"/>
      <c r="E795" s="177">
        <v>0</v>
      </c>
      <c r="F795" s="177">
        <v>1749367.18</v>
      </c>
      <c r="G795" s="25"/>
      <c r="H795" s="177">
        <v>0</v>
      </c>
      <c r="I795" s="25"/>
      <c r="J795" s="177">
        <v>1749367.18</v>
      </c>
      <c r="K795" s="25">
        <f t="shared" si="12"/>
        <v>1749367.18</v>
      </c>
    </row>
    <row r="796" spans="1:11" ht="15.95" customHeight="1" x14ac:dyDescent="0.2">
      <c r="A796" s="156" t="s">
        <v>1307</v>
      </c>
      <c r="B796" s="369" t="s">
        <v>1308</v>
      </c>
      <c r="C796" s="370"/>
      <c r="D796" s="370"/>
      <c r="E796" s="177">
        <v>0</v>
      </c>
      <c r="F796" s="177">
        <v>21699.9</v>
      </c>
      <c r="G796" s="25"/>
      <c r="H796" s="177">
        <v>0</v>
      </c>
      <c r="I796" s="25"/>
      <c r="J796" s="177">
        <v>21699.9</v>
      </c>
      <c r="K796" s="25">
        <f t="shared" si="12"/>
        <v>21699.9</v>
      </c>
    </row>
    <row r="797" spans="1:11" ht="15.95" customHeight="1" x14ac:dyDescent="0.2">
      <c r="A797" s="156" t="s">
        <v>1309</v>
      </c>
      <c r="B797" s="369" t="s">
        <v>1310</v>
      </c>
      <c r="C797" s="370"/>
      <c r="D797" s="370"/>
      <c r="E797" s="177">
        <v>0</v>
      </c>
      <c r="F797" s="177">
        <v>105873.8</v>
      </c>
      <c r="G797" s="25"/>
      <c r="H797" s="177">
        <v>0</v>
      </c>
      <c r="I797" s="25"/>
      <c r="J797" s="177">
        <v>105873.8</v>
      </c>
      <c r="K797" s="25">
        <f t="shared" si="12"/>
        <v>105873.8</v>
      </c>
    </row>
    <row r="798" spans="1:11" ht="15.95" customHeight="1" x14ac:dyDescent="0.2">
      <c r="A798" s="156" t="s">
        <v>1311</v>
      </c>
      <c r="B798" s="369" t="s">
        <v>1312</v>
      </c>
      <c r="C798" s="370"/>
      <c r="D798" s="370"/>
      <c r="E798" s="177">
        <v>0</v>
      </c>
      <c r="F798" s="177">
        <v>5850</v>
      </c>
      <c r="G798" s="25"/>
      <c r="H798" s="177">
        <v>0</v>
      </c>
      <c r="I798" s="25"/>
      <c r="J798" s="177">
        <v>5850</v>
      </c>
      <c r="K798" s="25">
        <f t="shared" si="12"/>
        <v>5850</v>
      </c>
    </row>
    <row r="799" spans="1:11" ht="15.95" customHeight="1" x14ac:dyDescent="0.2">
      <c r="A799" s="156" t="s">
        <v>1313</v>
      </c>
      <c r="B799" s="369" t="s">
        <v>1314</v>
      </c>
      <c r="C799" s="370"/>
      <c r="D799" s="370"/>
      <c r="E799" s="177">
        <v>0</v>
      </c>
      <c r="F799" s="177">
        <v>37500</v>
      </c>
      <c r="G799" s="25"/>
      <c r="H799" s="177">
        <v>0</v>
      </c>
      <c r="I799" s="25"/>
      <c r="J799" s="177">
        <v>37500</v>
      </c>
      <c r="K799" s="25">
        <f t="shared" si="12"/>
        <v>37500</v>
      </c>
    </row>
    <row r="800" spans="1:11" ht="15.95" customHeight="1" x14ac:dyDescent="0.2">
      <c r="A800" s="156" t="s">
        <v>1315</v>
      </c>
      <c r="B800" s="369" t="s">
        <v>1316</v>
      </c>
      <c r="C800" s="370"/>
      <c r="D800" s="370"/>
      <c r="E800" s="177">
        <v>0</v>
      </c>
      <c r="F800" s="177">
        <v>15000</v>
      </c>
      <c r="G800" s="25"/>
      <c r="H800" s="177">
        <v>0</v>
      </c>
      <c r="I800" s="25"/>
      <c r="J800" s="177">
        <v>15000</v>
      </c>
      <c r="K800" s="25">
        <f t="shared" si="12"/>
        <v>15000</v>
      </c>
    </row>
    <row r="801" spans="1:11" ht="15.95" customHeight="1" x14ac:dyDescent="0.2">
      <c r="A801" s="156" t="s">
        <v>1317</v>
      </c>
      <c r="B801" s="369" t="s">
        <v>1318</v>
      </c>
      <c r="C801" s="370"/>
      <c r="D801" s="370"/>
      <c r="E801" s="177">
        <v>0</v>
      </c>
      <c r="F801" s="177">
        <v>1415.1</v>
      </c>
      <c r="G801" s="25"/>
      <c r="H801" s="177">
        <v>0</v>
      </c>
      <c r="I801" s="25"/>
      <c r="J801" s="177">
        <v>1415.1</v>
      </c>
      <c r="K801" s="25">
        <f t="shared" si="12"/>
        <v>1415.1</v>
      </c>
    </row>
    <row r="802" spans="1:11" ht="15.95" customHeight="1" x14ac:dyDescent="0.2">
      <c r="A802" s="156" t="s">
        <v>1319</v>
      </c>
      <c r="B802" s="369" t="s">
        <v>1320</v>
      </c>
      <c r="C802" s="370"/>
      <c r="D802" s="370"/>
      <c r="E802" s="177">
        <v>0</v>
      </c>
      <c r="F802" s="177">
        <v>661153.72</v>
      </c>
      <c r="G802" s="25"/>
      <c r="H802" s="177">
        <v>0</v>
      </c>
      <c r="I802" s="25"/>
      <c r="J802" s="177">
        <v>661153.72</v>
      </c>
      <c r="K802" s="25">
        <f t="shared" si="12"/>
        <v>661153.72</v>
      </c>
    </row>
    <row r="803" spans="1:11" ht="15.95" customHeight="1" x14ac:dyDescent="0.2">
      <c r="A803" s="156" t="s">
        <v>1321</v>
      </c>
      <c r="B803" s="369" t="s">
        <v>1322</v>
      </c>
      <c r="C803" s="370"/>
      <c r="D803" s="370"/>
      <c r="E803" s="177">
        <v>0</v>
      </c>
      <c r="F803" s="177">
        <v>400</v>
      </c>
      <c r="G803" s="25"/>
      <c r="H803" s="177">
        <v>0</v>
      </c>
      <c r="I803" s="25"/>
      <c r="J803" s="177">
        <v>400</v>
      </c>
      <c r="K803" s="25">
        <f t="shared" si="12"/>
        <v>400</v>
      </c>
    </row>
    <row r="804" spans="1:11" ht="15.95" customHeight="1" x14ac:dyDescent="0.2">
      <c r="A804" s="156" t="s">
        <v>1323</v>
      </c>
      <c r="B804" s="369" t="s">
        <v>1324</v>
      </c>
      <c r="C804" s="370"/>
      <c r="D804" s="370"/>
      <c r="E804" s="177">
        <v>0</v>
      </c>
      <c r="F804" s="177">
        <v>17362</v>
      </c>
      <c r="G804" s="25"/>
      <c r="H804" s="177">
        <v>0</v>
      </c>
      <c r="I804" s="25"/>
      <c r="J804" s="177">
        <v>17362</v>
      </c>
      <c r="K804" s="25">
        <f t="shared" si="12"/>
        <v>17362</v>
      </c>
    </row>
    <row r="805" spans="1:11" ht="15.95" customHeight="1" x14ac:dyDescent="0.2">
      <c r="A805" s="156">
        <v>5110104</v>
      </c>
      <c r="B805" s="369" t="s">
        <v>1325</v>
      </c>
      <c r="C805" s="370"/>
      <c r="D805" s="370"/>
      <c r="E805" s="177">
        <v>0</v>
      </c>
      <c r="F805" s="177">
        <v>126786.33</v>
      </c>
      <c r="G805" s="25"/>
      <c r="H805" s="177">
        <v>5</v>
      </c>
      <c r="I805" s="25"/>
      <c r="J805" s="177">
        <v>126781.33</v>
      </c>
      <c r="K805" s="25">
        <f t="shared" si="12"/>
        <v>126781.33</v>
      </c>
    </row>
    <row r="806" spans="1:11" ht="15.95" customHeight="1" x14ac:dyDescent="0.2">
      <c r="A806" s="156" t="s">
        <v>1326</v>
      </c>
      <c r="B806" s="369" t="s">
        <v>182</v>
      </c>
      <c r="C806" s="370"/>
      <c r="D806" s="370"/>
      <c r="E806" s="177">
        <v>0</v>
      </c>
      <c r="F806" s="177">
        <v>22735.599999999999</v>
      </c>
      <c r="G806" s="25"/>
      <c r="H806" s="177">
        <v>0</v>
      </c>
      <c r="I806" s="25"/>
      <c r="J806" s="177">
        <v>22735.599999999999</v>
      </c>
      <c r="K806" s="25">
        <f t="shared" si="12"/>
        <v>22735.599999999999</v>
      </c>
    </row>
    <row r="807" spans="1:11" ht="15.95" customHeight="1" x14ac:dyDescent="0.2">
      <c r="A807" s="156" t="s">
        <v>1327</v>
      </c>
      <c r="B807" s="369" t="s">
        <v>1328</v>
      </c>
      <c r="C807" s="370"/>
      <c r="D807" s="370"/>
      <c r="E807" s="177">
        <v>0</v>
      </c>
      <c r="F807" s="177">
        <v>13321.02</v>
      </c>
      <c r="G807" s="25"/>
      <c r="H807" s="177">
        <v>0</v>
      </c>
      <c r="I807" s="25"/>
      <c r="J807" s="177">
        <v>13321.02</v>
      </c>
      <c r="K807" s="25">
        <f t="shared" si="12"/>
        <v>13321.02</v>
      </c>
    </row>
    <row r="808" spans="1:11" ht="15.95" customHeight="1" x14ac:dyDescent="0.2">
      <c r="A808" s="156" t="s">
        <v>1329</v>
      </c>
      <c r="B808" s="369" t="s">
        <v>1330</v>
      </c>
      <c r="C808" s="370"/>
      <c r="D808" s="370"/>
      <c r="E808" s="177">
        <v>0</v>
      </c>
      <c r="F808" s="177">
        <v>11071.58</v>
      </c>
      <c r="G808" s="25"/>
      <c r="H808" s="177">
        <v>0</v>
      </c>
      <c r="I808" s="25"/>
      <c r="J808" s="177">
        <v>11071.58</v>
      </c>
      <c r="K808" s="25">
        <f t="shared" si="12"/>
        <v>11071.58</v>
      </c>
    </row>
    <row r="809" spans="1:11" ht="15.95" customHeight="1" x14ac:dyDescent="0.2">
      <c r="A809" s="156" t="s">
        <v>1331</v>
      </c>
      <c r="B809" s="369" t="s">
        <v>1332</v>
      </c>
      <c r="C809" s="370"/>
      <c r="D809" s="370"/>
      <c r="E809" s="177">
        <v>0</v>
      </c>
      <c r="F809" s="177">
        <v>152.69</v>
      </c>
      <c r="G809" s="25"/>
      <c r="H809" s="177">
        <v>0</v>
      </c>
      <c r="I809" s="25"/>
      <c r="J809" s="177">
        <v>152.69</v>
      </c>
      <c r="K809" s="25">
        <f t="shared" si="12"/>
        <v>152.69</v>
      </c>
    </row>
    <row r="810" spans="1:11" ht="15.95" customHeight="1" x14ac:dyDescent="0.2">
      <c r="A810" s="156" t="s">
        <v>1333</v>
      </c>
      <c r="B810" s="369" t="s">
        <v>186</v>
      </c>
      <c r="C810" s="370"/>
      <c r="D810" s="370"/>
      <c r="E810" s="177">
        <v>0</v>
      </c>
      <c r="F810" s="177">
        <v>5674</v>
      </c>
      <c r="G810" s="25"/>
      <c r="H810" s="177">
        <v>0</v>
      </c>
      <c r="I810" s="25"/>
      <c r="J810" s="177">
        <v>5674</v>
      </c>
      <c r="K810" s="25">
        <f t="shared" si="12"/>
        <v>5674</v>
      </c>
    </row>
    <row r="811" spans="1:11" ht="15.95" customHeight="1" x14ac:dyDescent="0.2">
      <c r="A811" s="156" t="s">
        <v>1334</v>
      </c>
      <c r="B811" s="369" t="s">
        <v>1335</v>
      </c>
      <c r="C811" s="370"/>
      <c r="D811" s="370"/>
      <c r="E811" s="177">
        <v>0</v>
      </c>
      <c r="F811" s="177">
        <v>599.59</v>
      </c>
      <c r="G811" s="25"/>
      <c r="H811" s="177">
        <v>0</v>
      </c>
      <c r="I811" s="25"/>
      <c r="J811" s="177">
        <v>599.59</v>
      </c>
      <c r="K811" s="25">
        <f t="shared" si="12"/>
        <v>599.59</v>
      </c>
    </row>
    <row r="812" spans="1:11" ht="27.95" customHeight="1" x14ac:dyDescent="0.2">
      <c r="A812" s="156" t="s">
        <v>1336</v>
      </c>
      <c r="B812" s="369" t="s">
        <v>188</v>
      </c>
      <c r="C812" s="370"/>
      <c r="D812" s="370"/>
      <c r="E812" s="177">
        <v>0</v>
      </c>
      <c r="F812" s="177">
        <v>1971.24</v>
      </c>
      <c r="G812" s="25"/>
      <c r="H812" s="177">
        <v>0</v>
      </c>
      <c r="I812" s="25"/>
      <c r="J812" s="177">
        <v>1971.24</v>
      </c>
      <c r="K812" s="25">
        <f t="shared" si="12"/>
        <v>1971.24</v>
      </c>
    </row>
    <row r="813" spans="1:11" ht="15.95" customHeight="1" x14ac:dyDescent="0.2">
      <c r="A813" s="156" t="s">
        <v>1337</v>
      </c>
      <c r="B813" s="369" t="s">
        <v>1227</v>
      </c>
      <c r="C813" s="370"/>
      <c r="D813" s="370"/>
      <c r="E813" s="177">
        <v>0</v>
      </c>
      <c r="F813" s="177">
        <v>19815.32</v>
      </c>
      <c r="G813" s="25"/>
      <c r="H813" s="177">
        <v>0</v>
      </c>
      <c r="I813" s="25"/>
      <c r="J813" s="177">
        <v>19815.32</v>
      </c>
      <c r="K813" s="25">
        <f t="shared" si="12"/>
        <v>19815.32</v>
      </c>
    </row>
    <row r="814" spans="1:11" ht="15.95" customHeight="1" x14ac:dyDescent="0.2">
      <c r="A814" s="156" t="s">
        <v>1338</v>
      </c>
      <c r="B814" s="369" t="s">
        <v>1224</v>
      </c>
      <c r="C814" s="370"/>
      <c r="D814" s="370"/>
      <c r="E814" s="177">
        <v>0</v>
      </c>
      <c r="F814" s="177">
        <v>37441.61</v>
      </c>
      <c r="G814" s="25"/>
      <c r="H814" s="177">
        <v>0</v>
      </c>
      <c r="I814" s="25"/>
      <c r="J814" s="177">
        <v>37441.61</v>
      </c>
      <c r="K814" s="25">
        <f t="shared" si="12"/>
        <v>37441.61</v>
      </c>
    </row>
    <row r="815" spans="1:11" ht="15.95" customHeight="1" x14ac:dyDescent="0.2">
      <c r="A815" s="156" t="s">
        <v>1339</v>
      </c>
      <c r="B815" s="369" t="s">
        <v>1340</v>
      </c>
      <c r="C815" s="370"/>
      <c r="D815" s="370"/>
      <c r="E815" s="177">
        <v>0</v>
      </c>
      <c r="F815" s="177">
        <v>13007.68</v>
      </c>
      <c r="G815" s="25"/>
      <c r="H815" s="177">
        <v>5</v>
      </c>
      <c r="I815" s="25"/>
      <c r="J815" s="177">
        <v>13002.68</v>
      </c>
      <c r="K815" s="25">
        <f t="shared" si="12"/>
        <v>13002.68</v>
      </c>
    </row>
    <row r="816" spans="1:11" ht="15.95" customHeight="1" x14ac:dyDescent="0.2">
      <c r="A816" s="156" t="s">
        <v>1341</v>
      </c>
      <c r="B816" s="369" t="s">
        <v>1230</v>
      </c>
      <c r="C816" s="370"/>
      <c r="D816" s="370"/>
      <c r="E816" s="177">
        <v>0</v>
      </c>
      <c r="F816" s="177">
        <v>852</v>
      </c>
      <c r="G816" s="25"/>
      <c r="H816" s="177">
        <v>0</v>
      </c>
      <c r="I816" s="25"/>
      <c r="J816" s="177">
        <v>852</v>
      </c>
      <c r="K816" s="25">
        <f t="shared" si="12"/>
        <v>852</v>
      </c>
    </row>
    <row r="817" spans="1:12" ht="15.95" customHeight="1" x14ac:dyDescent="0.2">
      <c r="A817" s="156" t="s">
        <v>1342</v>
      </c>
      <c r="B817" s="369" t="s">
        <v>196</v>
      </c>
      <c r="C817" s="370"/>
      <c r="D817" s="370"/>
      <c r="E817" s="177">
        <v>0</v>
      </c>
      <c r="F817" s="177">
        <v>144</v>
      </c>
      <c r="G817" s="25"/>
      <c r="H817" s="177">
        <v>0</v>
      </c>
      <c r="I817" s="25"/>
      <c r="J817" s="177">
        <v>144</v>
      </c>
      <c r="K817" s="25">
        <f t="shared" si="12"/>
        <v>144</v>
      </c>
    </row>
    <row r="818" spans="1:12" ht="15.95" customHeight="1" x14ac:dyDescent="0.2">
      <c r="A818" s="156">
        <v>5110105</v>
      </c>
      <c r="B818" s="369" t="s">
        <v>1343</v>
      </c>
      <c r="C818" s="370"/>
      <c r="D818" s="370"/>
      <c r="E818" s="177">
        <v>0</v>
      </c>
      <c r="F818" s="177">
        <v>4224646.82</v>
      </c>
      <c r="G818" s="25"/>
      <c r="H818" s="177">
        <v>90701.9</v>
      </c>
      <c r="I818" s="25"/>
      <c r="J818" s="177">
        <v>4133944.92</v>
      </c>
      <c r="K818" s="25">
        <f t="shared" si="12"/>
        <v>4133944.92</v>
      </c>
    </row>
    <row r="819" spans="1:12" ht="15.95" customHeight="1" x14ac:dyDescent="0.2">
      <c r="A819" s="156" t="s">
        <v>1344</v>
      </c>
      <c r="B819" s="369" t="s">
        <v>1239</v>
      </c>
      <c r="C819" s="370"/>
      <c r="D819" s="370"/>
      <c r="E819" s="177">
        <v>0</v>
      </c>
      <c r="F819" s="177">
        <v>577633.4</v>
      </c>
      <c r="G819" s="25"/>
      <c r="H819" s="177">
        <v>0</v>
      </c>
      <c r="I819" s="25"/>
      <c r="J819" s="177">
        <v>577633.4</v>
      </c>
      <c r="K819" s="25">
        <f t="shared" si="12"/>
        <v>577633.4</v>
      </c>
    </row>
    <row r="820" spans="1:12" ht="15.95" customHeight="1" x14ac:dyDescent="0.2">
      <c r="A820" s="156" t="s">
        <v>1345</v>
      </c>
      <c r="B820" s="369" t="s">
        <v>1346</v>
      </c>
      <c r="C820" s="370"/>
      <c r="D820" s="370"/>
      <c r="E820" s="177">
        <v>0</v>
      </c>
      <c r="F820" s="177">
        <v>13938.25</v>
      </c>
      <c r="G820" s="25"/>
      <c r="H820" s="177">
        <v>0</v>
      </c>
      <c r="I820" s="25"/>
      <c r="J820" s="177">
        <v>13938.25</v>
      </c>
      <c r="K820" s="25">
        <f t="shared" si="12"/>
        <v>13938.25</v>
      </c>
    </row>
    <row r="821" spans="1:12" ht="15.95" customHeight="1" x14ac:dyDescent="0.2">
      <c r="A821" s="156" t="s">
        <v>1347</v>
      </c>
      <c r="B821" s="369" t="s">
        <v>1348</v>
      </c>
      <c r="C821" s="370"/>
      <c r="D821" s="370"/>
      <c r="E821" s="177">
        <v>0</v>
      </c>
      <c r="F821" s="177">
        <v>34800.75</v>
      </c>
      <c r="G821" s="25"/>
      <c r="H821" s="177">
        <v>0</v>
      </c>
      <c r="I821" s="25"/>
      <c r="J821" s="177">
        <v>34800.75</v>
      </c>
      <c r="K821" s="25">
        <f t="shared" si="12"/>
        <v>34800.75</v>
      </c>
    </row>
    <row r="822" spans="1:12" ht="15.95" customHeight="1" x14ac:dyDescent="0.2">
      <c r="A822" s="156" t="s">
        <v>1349</v>
      </c>
      <c r="B822" s="369" t="s">
        <v>1243</v>
      </c>
      <c r="C822" s="370"/>
      <c r="D822" s="370"/>
      <c r="E822" s="177">
        <v>0</v>
      </c>
      <c r="F822" s="177">
        <v>13527.9</v>
      </c>
      <c r="G822" s="25"/>
      <c r="H822" s="177">
        <v>0</v>
      </c>
      <c r="I822" s="25"/>
      <c r="J822" s="177">
        <v>13527.9</v>
      </c>
      <c r="K822" s="25">
        <f t="shared" si="12"/>
        <v>13527.9</v>
      </c>
    </row>
    <row r="823" spans="1:12" ht="15.95" customHeight="1" x14ac:dyDescent="0.2">
      <c r="A823" s="156" t="s">
        <v>1350</v>
      </c>
      <c r="B823" s="369" t="s">
        <v>1351</v>
      </c>
      <c r="C823" s="370"/>
      <c r="D823" s="370"/>
      <c r="E823" s="177">
        <v>0</v>
      </c>
      <c r="F823" s="177">
        <v>1974.55</v>
      </c>
      <c r="G823" s="25"/>
      <c r="H823" s="177" t="s">
        <v>1870</v>
      </c>
      <c r="I823" s="25"/>
      <c r="J823" s="177">
        <v>1974.52</v>
      </c>
      <c r="K823" s="25">
        <f t="shared" si="12"/>
        <v>1974.52</v>
      </c>
    </row>
    <row r="824" spans="1:12" ht="15.95" customHeight="1" x14ac:dyDescent="0.2">
      <c r="A824" s="156" t="s">
        <v>1352</v>
      </c>
      <c r="B824" s="369" t="s">
        <v>1353</v>
      </c>
      <c r="C824" s="370"/>
      <c r="D824" s="370"/>
      <c r="E824" s="177">
        <v>0</v>
      </c>
      <c r="F824" s="177">
        <v>39.78</v>
      </c>
      <c r="G824" s="25"/>
      <c r="H824" s="177">
        <v>0</v>
      </c>
      <c r="I824" s="25"/>
      <c r="J824" s="177">
        <v>39.78</v>
      </c>
      <c r="K824" s="25">
        <f t="shared" si="12"/>
        <v>39.78</v>
      </c>
    </row>
    <row r="825" spans="1:12" ht="15.95" customHeight="1" x14ac:dyDescent="0.2">
      <c r="A825" s="156" t="s">
        <v>1354</v>
      </c>
      <c r="B825" s="369" t="s">
        <v>1355</v>
      </c>
      <c r="C825" s="370"/>
      <c r="D825" s="370"/>
      <c r="E825" s="177">
        <v>0</v>
      </c>
      <c r="F825" s="177">
        <v>25588.92</v>
      </c>
      <c r="G825" s="25"/>
      <c r="H825" s="177">
        <v>0</v>
      </c>
      <c r="I825" s="25"/>
      <c r="J825" s="177">
        <v>25588.92</v>
      </c>
      <c r="K825" s="25">
        <f t="shared" si="12"/>
        <v>25588.92</v>
      </c>
    </row>
    <row r="826" spans="1:12" ht="15.95" customHeight="1" x14ac:dyDescent="0.2">
      <c r="A826" s="156" t="s">
        <v>1356</v>
      </c>
      <c r="B826" s="369" t="s">
        <v>200</v>
      </c>
      <c r="C826" s="370"/>
      <c r="D826" s="370"/>
      <c r="E826" s="177">
        <v>0</v>
      </c>
      <c r="F826" s="177">
        <v>141741.63</v>
      </c>
      <c r="G826" s="25"/>
      <c r="H826" s="177">
        <v>0</v>
      </c>
      <c r="I826" s="25"/>
      <c r="J826" s="177">
        <v>141741.63</v>
      </c>
      <c r="K826" s="25">
        <f t="shared" si="12"/>
        <v>141741.63</v>
      </c>
    </row>
    <row r="827" spans="1:12" ht="15.95" customHeight="1" x14ac:dyDescent="0.2">
      <c r="A827" s="156" t="s">
        <v>1357</v>
      </c>
      <c r="B827" s="369" t="s">
        <v>1358</v>
      </c>
      <c r="C827" s="370"/>
      <c r="D827" s="370"/>
      <c r="E827" s="177">
        <v>0</v>
      </c>
      <c r="F827" s="177">
        <v>91694.2</v>
      </c>
      <c r="G827" s="25"/>
      <c r="H827" s="177">
        <v>1056.68</v>
      </c>
      <c r="I827" s="25"/>
      <c r="J827" s="177">
        <v>90637.52</v>
      </c>
      <c r="K827" s="25">
        <f t="shared" si="12"/>
        <v>90637.52</v>
      </c>
    </row>
    <row r="828" spans="1:12" ht="15.95" customHeight="1" x14ac:dyDescent="0.2">
      <c r="A828" s="156" t="s">
        <v>1359</v>
      </c>
      <c r="B828" s="369" t="s">
        <v>1360</v>
      </c>
      <c r="C828" s="370"/>
      <c r="D828" s="370"/>
      <c r="E828" s="177">
        <v>0</v>
      </c>
      <c r="F828" s="177">
        <v>6393.66</v>
      </c>
      <c r="G828" s="25"/>
      <c r="H828" s="177">
        <v>0</v>
      </c>
      <c r="I828" s="25"/>
      <c r="J828" s="177">
        <v>6393.66</v>
      </c>
      <c r="K828" s="25">
        <f t="shared" si="12"/>
        <v>6393.66</v>
      </c>
    </row>
    <row r="829" spans="1:12" ht="15.95" customHeight="1" x14ac:dyDescent="0.2">
      <c r="A829" s="158" t="s">
        <v>1361</v>
      </c>
      <c r="B829" s="371" t="s">
        <v>1362</v>
      </c>
      <c r="C829" s="372"/>
      <c r="D829" s="372"/>
      <c r="E829" s="178">
        <v>0</v>
      </c>
      <c r="F829" s="178">
        <v>2814200.06</v>
      </c>
      <c r="G829" s="31"/>
      <c r="H829" s="178">
        <v>89489.01</v>
      </c>
      <c r="I829" s="31"/>
      <c r="J829" s="178">
        <v>2724711.05</v>
      </c>
      <c r="K829" s="31">
        <f t="shared" si="12"/>
        <v>2724711.05</v>
      </c>
    </row>
    <row r="830" spans="1:12" ht="15.95" customHeight="1" x14ac:dyDescent="0.2">
      <c r="A830" s="158" t="s">
        <v>1363</v>
      </c>
      <c r="B830" s="371" t="s">
        <v>1364</v>
      </c>
      <c r="C830" s="372"/>
      <c r="D830" s="372"/>
      <c r="E830" s="178">
        <v>0</v>
      </c>
      <c r="F830" s="178">
        <v>339976.82</v>
      </c>
      <c r="G830" s="31"/>
      <c r="H830" s="178">
        <v>0</v>
      </c>
      <c r="I830" s="31"/>
      <c r="J830" s="178">
        <v>339976.82</v>
      </c>
      <c r="K830" s="31">
        <f t="shared" si="12"/>
        <v>339976.82</v>
      </c>
      <c r="L830" s="25">
        <f>K830+K829+K752+K751</f>
        <v>11454441.57</v>
      </c>
    </row>
    <row r="831" spans="1:12" ht="15.95" customHeight="1" x14ac:dyDescent="0.2">
      <c r="A831" s="156" t="s">
        <v>1365</v>
      </c>
      <c r="B831" s="369" t="s">
        <v>1366</v>
      </c>
      <c r="C831" s="370"/>
      <c r="D831" s="370"/>
      <c r="E831" s="177">
        <v>0</v>
      </c>
      <c r="F831" s="177">
        <v>20480</v>
      </c>
      <c r="G831" s="25"/>
      <c r="H831" s="177">
        <v>0</v>
      </c>
      <c r="I831" s="25"/>
      <c r="J831" s="177">
        <v>20480</v>
      </c>
      <c r="K831" s="25">
        <f t="shared" si="12"/>
        <v>20480</v>
      </c>
    </row>
    <row r="832" spans="1:12" ht="15.95" customHeight="1" x14ac:dyDescent="0.2">
      <c r="A832" s="156" t="s">
        <v>1367</v>
      </c>
      <c r="B832" s="369" t="s">
        <v>1368</v>
      </c>
      <c r="C832" s="370"/>
      <c r="D832" s="370"/>
      <c r="E832" s="177">
        <v>0</v>
      </c>
      <c r="F832" s="177">
        <v>32305.56</v>
      </c>
      <c r="G832" s="25"/>
      <c r="H832" s="177">
        <v>0</v>
      </c>
      <c r="I832" s="25"/>
      <c r="J832" s="177">
        <v>32305.56</v>
      </c>
      <c r="K832" s="25">
        <f t="shared" si="12"/>
        <v>32305.56</v>
      </c>
    </row>
    <row r="833" spans="1:11" ht="15.95" customHeight="1" x14ac:dyDescent="0.2">
      <c r="A833" s="156" t="s">
        <v>1369</v>
      </c>
      <c r="B833" s="369" t="s">
        <v>1370</v>
      </c>
      <c r="C833" s="370"/>
      <c r="D833" s="370"/>
      <c r="E833" s="177">
        <v>0</v>
      </c>
      <c r="F833" s="177">
        <v>48</v>
      </c>
      <c r="G833" s="25"/>
      <c r="H833" s="177">
        <v>0</v>
      </c>
      <c r="I833" s="25"/>
      <c r="J833" s="177">
        <v>48</v>
      </c>
      <c r="K833" s="25">
        <f t="shared" si="12"/>
        <v>48</v>
      </c>
    </row>
    <row r="834" spans="1:11" ht="15.95" customHeight="1" x14ac:dyDescent="0.2">
      <c r="A834" s="156" t="s">
        <v>1371</v>
      </c>
      <c r="B834" s="369" t="s">
        <v>1372</v>
      </c>
      <c r="C834" s="370"/>
      <c r="D834" s="370"/>
      <c r="E834" s="177">
        <v>0</v>
      </c>
      <c r="F834" s="177">
        <v>1070</v>
      </c>
      <c r="G834" s="25"/>
      <c r="H834" s="177">
        <v>0</v>
      </c>
      <c r="I834" s="25"/>
      <c r="J834" s="177">
        <v>1070</v>
      </c>
      <c r="K834" s="25">
        <f t="shared" si="12"/>
        <v>1070</v>
      </c>
    </row>
    <row r="835" spans="1:11" ht="15.95" customHeight="1" x14ac:dyDescent="0.2">
      <c r="A835" s="156" t="s">
        <v>1373</v>
      </c>
      <c r="B835" s="369" t="s">
        <v>202</v>
      </c>
      <c r="C835" s="370"/>
      <c r="D835" s="370"/>
      <c r="E835" s="177">
        <v>0</v>
      </c>
      <c r="F835" s="177">
        <v>101367.33</v>
      </c>
      <c r="G835" s="25"/>
      <c r="H835" s="177">
        <v>0</v>
      </c>
      <c r="I835" s="25"/>
      <c r="J835" s="177">
        <v>101367.33</v>
      </c>
      <c r="K835" s="25">
        <f t="shared" si="12"/>
        <v>101367.33</v>
      </c>
    </row>
    <row r="836" spans="1:11" ht="15.95" customHeight="1" x14ac:dyDescent="0.2">
      <c r="A836" s="156" t="s">
        <v>1871</v>
      </c>
      <c r="B836" s="369" t="s">
        <v>1872</v>
      </c>
      <c r="C836" s="370"/>
      <c r="D836" s="370"/>
      <c r="E836" s="177">
        <v>0</v>
      </c>
      <c r="F836" s="177">
        <v>156.18</v>
      </c>
      <c r="G836" s="25"/>
      <c r="H836" s="177">
        <v>156.18</v>
      </c>
      <c r="I836" s="25"/>
      <c r="J836" s="177">
        <v>0</v>
      </c>
      <c r="K836" s="25">
        <f t="shared" ref="K836:K880" si="13">J836-E836</f>
        <v>0</v>
      </c>
    </row>
    <row r="837" spans="1:11" ht="15.95" customHeight="1" x14ac:dyDescent="0.2">
      <c r="A837" s="156" t="s">
        <v>1374</v>
      </c>
      <c r="B837" s="369" t="s">
        <v>1375</v>
      </c>
      <c r="C837" s="370"/>
      <c r="D837" s="370"/>
      <c r="E837" s="177">
        <v>0</v>
      </c>
      <c r="F837" s="177">
        <v>6564.83</v>
      </c>
      <c r="G837" s="25"/>
      <c r="H837" s="177">
        <v>0</v>
      </c>
      <c r="I837" s="25"/>
      <c r="J837" s="177">
        <v>6564.83</v>
      </c>
      <c r="K837" s="25">
        <f t="shared" si="13"/>
        <v>6564.83</v>
      </c>
    </row>
    <row r="838" spans="1:11" ht="15.95" customHeight="1" x14ac:dyDescent="0.2">
      <c r="A838" s="156" t="s">
        <v>1376</v>
      </c>
      <c r="B838" s="369" t="s">
        <v>1377</v>
      </c>
      <c r="C838" s="370"/>
      <c r="D838" s="370"/>
      <c r="E838" s="177">
        <v>0</v>
      </c>
      <c r="F838" s="177">
        <v>1145</v>
      </c>
      <c r="G838" s="25"/>
      <c r="H838" s="177">
        <v>0</v>
      </c>
      <c r="I838" s="25"/>
      <c r="J838" s="177">
        <v>1145</v>
      </c>
      <c r="K838" s="25">
        <f t="shared" si="13"/>
        <v>1145</v>
      </c>
    </row>
    <row r="839" spans="1:11" ht="15.95" customHeight="1" x14ac:dyDescent="0.2">
      <c r="A839" s="156">
        <v>59</v>
      </c>
      <c r="B839" s="369" t="s">
        <v>1378</v>
      </c>
      <c r="C839" s="370"/>
      <c r="D839" s="370"/>
      <c r="E839" s="177">
        <v>0</v>
      </c>
      <c r="F839" s="177">
        <v>2293746.73</v>
      </c>
      <c r="G839" s="25"/>
      <c r="H839" s="177">
        <v>1043265.45</v>
      </c>
      <c r="I839" s="25"/>
      <c r="J839" s="177">
        <v>1250481.28</v>
      </c>
      <c r="K839" s="25">
        <f t="shared" si="13"/>
        <v>1250481.28</v>
      </c>
    </row>
    <row r="840" spans="1:11" ht="15.95" customHeight="1" x14ac:dyDescent="0.2">
      <c r="A840" s="156">
        <v>591</v>
      </c>
      <c r="B840" s="369" t="s">
        <v>1379</v>
      </c>
      <c r="C840" s="370"/>
      <c r="D840" s="370"/>
      <c r="E840" s="177">
        <v>0</v>
      </c>
      <c r="F840" s="177">
        <v>2293746.73</v>
      </c>
      <c r="G840" s="25"/>
      <c r="H840" s="177">
        <v>1043265.45</v>
      </c>
      <c r="I840" s="25"/>
      <c r="J840" s="177">
        <v>1250481.28</v>
      </c>
      <c r="K840" s="25">
        <f t="shared" si="13"/>
        <v>1250481.28</v>
      </c>
    </row>
    <row r="841" spans="1:11" ht="15.95" customHeight="1" x14ac:dyDescent="0.2">
      <c r="A841" s="156">
        <v>59101</v>
      </c>
      <c r="B841" s="369" t="s">
        <v>1380</v>
      </c>
      <c r="C841" s="370"/>
      <c r="D841" s="370"/>
      <c r="E841" s="177">
        <v>0</v>
      </c>
      <c r="F841" s="177">
        <v>2292789.44</v>
      </c>
      <c r="G841" s="25"/>
      <c r="H841" s="177">
        <v>131068.52</v>
      </c>
      <c r="I841" s="25"/>
      <c r="J841" s="177">
        <v>2161720.92</v>
      </c>
      <c r="K841" s="25">
        <f t="shared" si="13"/>
        <v>2161720.92</v>
      </c>
    </row>
    <row r="842" spans="1:11" ht="15.95" customHeight="1" x14ac:dyDescent="0.2">
      <c r="A842" s="156">
        <v>5910101</v>
      </c>
      <c r="B842" s="369" t="s">
        <v>1380</v>
      </c>
      <c r="C842" s="370"/>
      <c r="D842" s="370"/>
      <c r="E842" s="177">
        <v>0</v>
      </c>
      <c r="F842" s="177">
        <v>2292789.44</v>
      </c>
      <c r="G842" s="25"/>
      <c r="H842" s="177">
        <v>131068.52</v>
      </c>
      <c r="I842" s="25"/>
      <c r="J842" s="177">
        <v>2161720.92</v>
      </c>
      <c r="K842" s="25">
        <f t="shared" si="13"/>
        <v>2161720.92</v>
      </c>
    </row>
    <row r="843" spans="1:11" ht="15.95" customHeight="1" x14ac:dyDescent="0.2">
      <c r="A843" s="156" t="s">
        <v>1381</v>
      </c>
      <c r="B843" s="369" t="s">
        <v>1382</v>
      </c>
      <c r="C843" s="370"/>
      <c r="D843" s="370"/>
      <c r="E843" s="177">
        <v>0</v>
      </c>
      <c r="F843" s="177">
        <v>24570.29</v>
      </c>
      <c r="G843" s="25"/>
      <c r="H843" s="177">
        <v>1198.69</v>
      </c>
      <c r="I843" s="25"/>
      <c r="J843" s="177">
        <v>23371.599999999999</v>
      </c>
      <c r="K843" s="25">
        <f t="shared" si="13"/>
        <v>23371.599999999999</v>
      </c>
    </row>
    <row r="844" spans="1:11" ht="15.95" customHeight="1" x14ac:dyDescent="0.2">
      <c r="A844" s="156" t="s">
        <v>1383</v>
      </c>
      <c r="B844" s="369" t="s">
        <v>1384</v>
      </c>
      <c r="C844" s="370"/>
      <c r="D844" s="370"/>
      <c r="E844" s="177">
        <v>0</v>
      </c>
      <c r="F844" s="177">
        <v>988849.31</v>
      </c>
      <c r="G844" s="25"/>
      <c r="H844" s="177">
        <v>125578.66</v>
      </c>
      <c r="I844" s="25"/>
      <c r="J844" s="177">
        <v>863270.65</v>
      </c>
      <c r="K844" s="25">
        <f t="shared" si="13"/>
        <v>863270.65</v>
      </c>
    </row>
    <row r="845" spans="1:11" ht="15.95" customHeight="1" x14ac:dyDescent="0.2">
      <c r="A845" s="156" t="s">
        <v>1385</v>
      </c>
      <c r="B845" s="369" t="s">
        <v>1386</v>
      </c>
      <c r="C845" s="370"/>
      <c r="D845" s="370"/>
      <c r="E845" s="177">
        <v>0</v>
      </c>
      <c r="F845" s="177">
        <v>2799.71</v>
      </c>
      <c r="G845" s="25"/>
      <c r="H845" s="177">
        <v>3.61</v>
      </c>
      <c r="I845" s="25"/>
      <c r="J845" s="177">
        <v>2796.1</v>
      </c>
      <c r="K845" s="25">
        <f t="shared" si="13"/>
        <v>2796.1</v>
      </c>
    </row>
    <row r="846" spans="1:11" ht="15.95" customHeight="1" x14ac:dyDescent="0.2">
      <c r="A846" s="156" t="s">
        <v>1387</v>
      </c>
      <c r="B846" s="369" t="s">
        <v>1388</v>
      </c>
      <c r="C846" s="370"/>
      <c r="D846" s="370"/>
      <c r="E846" s="177">
        <v>0</v>
      </c>
      <c r="F846" s="177">
        <v>10993.32</v>
      </c>
      <c r="G846" s="25"/>
      <c r="H846" s="177">
        <v>0</v>
      </c>
      <c r="I846" s="25"/>
      <c r="J846" s="177">
        <v>10993.32</v>
      </c>
      <c r="K846" s="25">
        <f t="shared" si="13"/>
        <v>10993.32</v>
      </c>
    </row>
    <row r="847" spans="1:11" ht="15.95" customHeight="1" x14ac:dyDescent="0.2">
      <c r="A847" s="156" t="s">
        <v>1389</v>
      </c>
      <c r="B847" s="369" t="s">
        <v>1390</v>
      </c>
      <c r="C847" s="370"/>
      <c r="D847" s="370"/>
      <c r="E847" s="177">
        <v>0</v>
      </c>
      <c r="F847" s="177">
        <v>1265576.81</v>
      </c>
      <c r="G847" s="25"/>
      <c r="H847" s="177">
        <v>4287.5600000000004</v>
      </c>
      <c r="I847" s="25"/>
      <c r="J847" s="177">
        <v>1261289.25</v>
      </c>
      <c r="K847" s="25">
        <f t="shared" si="13"/>
        <v>1261289.25</v>
      </c>
    </row>
    <row r="848" spans="1:11" ht="15.95" customHeight="1" x14ac:dyDescent="0.2">
      <c r="A848" s="156">
        <v>59102</v>
      </c>
      <c r="B848" s="369" t="s">
        <v>1391</v>
      </c>
      <c r="C848" s="370"/>
      <c r="D848" s="370"/>
      <c r="E848" s="177">
        <v>0</v>
      </c>
      <c r="F848" s="177">
        <v>957.29</v>
      </c>
      <c r="G848" s="25"/>
      <c r="H848" s="177">
        <v>912196.93</v>
      </c>
      <c r="I848" s="25"/>
      <c r="J848" s="177">
        <v>-911239.64</v>
      </c>
      <c r="K848" s="25">
        <f t="shared" si="13"/>
        <v>-911239.64</v>
      </c>
    </row>
    <row r="849" spans="1:11" ht="15.95" customHeight="1" x14ac:dyDescent="0.2">
      <c r="A849" s="156">
        <v>5910201</v>
      </c>
      <c r="B849" s="369" t="s">
        <v>1391</v>
      </c>
      <c r="C849" s="370"/>
      <c r="D849" s="370"/>
      <c r="E849" s="177">
        <v>0</v>
      </c>
      <c r="F849" s="177">
        <v>957.29</v>
      </c>
      <c r="G849" s="25"/>
      <c r="H849" s="177">
        <v>912196.93</v>
      </c>
      <c r="I849" s="25"/>
      <c r="J849" s="177">
        <v>-911239.64</v>
      </c>
      <c r="K849" s="25">
        <f t="shared" si="13"/>
        <v>-911239.64</v>
      </c>
    </row>
    <row r="850" spans="1:11" ht="15.95" customHeight="1" x14ac:dyDescent="0.2">
      <c r="A850" s="156" t="s">
        <v>1392</v>
      </c>
      <c r="B850" s="369" t="s">
        <v>1393</v>
      </c>
      <c r="C850" s="370"/>
      <c r="D850" s="370"/>
      <c r="E850" s="177">
        <v>0</v>
      </c>
      <c r="F850" s="177">
        <v>752.43</v>
      </c>
      <c r="G850" s="25"/>
      <c r="H850" s="177">
        <v>129176.51</v>
      </c>
      <c r="I850" s="25"/>
      <c r="J850" s="177">
        <v>-128424.08</v>
      </c>
      <c r="K850" s="25">
        <f t="shared" si="13"/>
        <v>-128424.08</v>
      </c>
    </row>
    <row r="851" spans="1:11" ht="15.95" customHeight="1" x14ac:dyDescent="0.2">
      <c r="A851" s="156" t="s">
        <v>1576</v>
      </c>
      <c r="B851" s="369" t="s">
        <v>1577</v>
      </c>
      <c r="C851" s="370"/>
      <c r="D851" s="370"/>
      <c r="E851" s="177">
        <v>0</v>
      </c>
      <c r="F851" s="177">
        <v>0</v>
      </c>
      <c r="G851" s="25"/>
      <c r="H851" s="177">
        <v>2440</v>
      </c>
      <c r="I851" s="25"/>
      <c r="J851" s="177">
        <v>-2440</v>
      </c>
      <c r="K851" s="25">
        <f t="shared" si="13"/>
        <v>-2440</v>
      </c>
    </row>
    <row r="852" spans="1:11" ht="15.95" customHeight="1" x14ac:dyDescent="0.2">
      <c r="A852" s="156" t="s">
        <v>1394</v>
      </c>
      <c r="B852" s="369" t="s">
        <v>1395</v>
      </c>
      <c r="C852" s="370"/>
      <c r="D852" s="370"/>
      <c r="E852" s="177">
        <v>0</v>
      </c>
      <c r="F852" s="177">
        <v>0</v>
      </c>
      <c r="G852" s="25"/>
      <c r="H852" s="177">
        <v>177574.24</v>
      </c>
      <c r="I852" s="25"/>
      <c r="J852" s="177">
        <v>-177574.24</v>
      </c>
      <c r="K852" s="25">
        <f t="shared" si="13"/>
        <v>-177574.24</v>
      </c>
    </row>
    <row r="853" spans="1:11" ht="15.95" customHeight="1" x14ac:dyDescent="0.2">
      <c r="A853" s="156" t="s">
        <v>1396</v>
      </c>
      <c r="B853" s="369" t="s">
        <v>1397</v>
      </c>
      <c r="C853" s="370"/>
      <c r="D853" s="370"/>
      <c r="E853" s="177">
        <v>0</v>
      </c>
      <c r="F853" s="177">
        <v>0</v>
      </c>
      <c r="G853" s="25"/>
      <c r="H853" s="177">
        <v>138919.92000000001</v>
      </c>
      <c r="I853" s="25"/>
      <c r="J853" s="177">
        <v>-138919.92000000001</v>
      </c>
      <c r="K853" s="25">
        <f t="shared" si="13"/>
        <v>-138919.92000000001</v>
      </c>
    </row>
    <row r="854" spans="1:11" ht="15.95" customHeight="1" x14ac:dyDescent="0.2">
      <c r="A854" s="156" t="s">
        <v>1398</v>
      </c>
      <c r="B854" s="369" t="s">
        <v>1399</v>
      </c>
      <c r="C854" s="370"/>
      <c r="D854" s="370"/>
      <c r="E854" s="177">
        <v>0</v>
      </c>
      <c r="F854" s="177">
        <v>204.86</v>
      </c>
      <c r="G854" s="25"/>
      <c r="H854" s="177">
        <v>464086.26</v>
      </c>
      <c r="I854" s="25"/>
      <c r="J854" s="177">
        <v>-463881.4</v>
      </c>
      <c r="K854" s="25">
        <f t="shared" si="13"/>
        <v>-463881.4</v>
      </c>
    </row>
    <row r="855" spans="1:11" ht="15.95" customHeight="1" x14ac:dyDescent="0.2">
      <c r="A855" s="156">
        <v>6</v>
      </c>
      <c r="B855" s="369" t="s">
        <v>1400</v>
      </c>
      <c r="C855" s="370"/>
      <c r="D855" s="370"/>
      <c r="E855" s="177">
        <v>0</v>
      </c>
      <c r="F855" s="177">
        <v>3280387.46</v>
      </c>
      <c r="G855" s="25"/>
      <c r="H855" s="177">
        <v>2306577.9</v>
      </c>
      <c r="I855" s="25"/>
      <c r="J855" s="177">
        <v>973809.56</v>
      </c>
      <c r="K855" s="25">
        <f t="shared" si="13"/>
        <v>973809.56</v>
      </c>
    </row>
    <row r="856" spans="1:11" ht="15.95" customHeight="1" x14ac:dyDescent="0.2">
      <c r="A856" s="156">
        <v>62</v>
      </c>
      <c r="B856" s="369" t="s">
        <v>1401</v>
      </c>
      <c r="C856" s="370"/>
      <c r="D856" s="370"/>
      <c r="E856" s="177">
        <v>0</v>
      </c>
      <c r="F856" s="177">
        <v>3280387.46</v>
      </c>
      <c r="G856" s="25"/>
      <c r="H856" s="177">
        <v>2306577.9</v>
      </c>
      <c r="I856" s="25"/>
      <c r="J856" s="177">
        <v>973809.56</v>
      </c>
      <c r="K856" s="25">
        <f t="shared" si="13"/>
        <v>973809.56</v>
      </c>
    </row>
    <row r="857" spans="1:11" ht="15.95" customHeight="1" x14ac:dyDescent="0.2">
      <c r="A857" s="156">
        <v>621</v>
      </c>
      <c r="B857" s="369" t="s">
        <v>1402</v>
      </c>
      <c r="C857" s="370"/>
      <c r="D857" s="370"/>
      <c r="E857" s="177">
        <v>0</v>
      </c>
      <c r="F857" s="177">
        <v>31.02</v>
      </c>
      <c r="G857" s="25"/>
      <c r="H857" s="177">
        <v>2069095.19</v>
      </c>
      <c r="I857" s="25"/>
      <c r="J857" s="177">
        <v>-2069064.17</v>
      </c>
      <c r="K857" s="25">
        <f t="shared" si="13"/>
        <v>-2069064.17</v>
      </c>
    </row>
    <row r="858" spans="1:11" ht="15.95" customHeight="1" x14ac:dyDescent="0.2">
      <c r="A858" s="156">
        <v>62101</v>
      </c>
      <c r="B858" s="369" t="s">
        <v>1403</v>
      </c>
      <c r="C858" s="370"/>
      <c r="D858" s="370"/>
      <c r="E858" s="177">
        <v>0</v>
      </c>
      <c r="F858" s="177">
        <v>31.02</v>
      </c>
      <c r="G858" s="25"/>
      <c r="H858" s="177">
        <v>2069095.19</v>
      </c>
      <c r="I858" s="25"/>
      <c r="J858" s="177">
        <v>-2069064.17</v>
      </c>
      <c r="K858" s="25">
        <f t="shared" si="13"/>
        <v>-2069064.17</v>
      </c>
    </row>
    <row r="859" spans="1:11" ht="15.95" customHeight="1" x14ac:dyDescent="0.2">
      <c r="A859" s="156">
        <v>6210101</v>
      </c>
      <c r="B859" s="369" t="s">
        <v>1404</v>
      </c>
      <c r="C859" s="370"/>
      <c r="D859" s="370"/>
      <c r="E859" s="177">
        <v>0</v>
      </c>
      <c r="F859" s="177">
        <v>31.02</v>
      </c>
      <c r="G859" s="25"/>
      <c r="H859" s="177">
        <v>2069095.19</v>
      </c>
      <c r="I859" s="25"/>
      <c r="J859" s="177">
        <v>-2069064.17</v>
      </c>
      <c r="K859" s="25">
        <f t="shared" si="13"/>
        <v>-2069064.17</v>
      </c>
    </row>
    <row r="860" spans="1:11" ht="15.95" customHeight="1" x14ac:dyDescent="0.2">
      <c r="A860" s="156" t="s">
        <v>1405</v>
      </c>
      <c r="B860" s="369" t="s">
        <v>1406</v>
      </c>
      <c r="C860" s="370"/>
      <c r="D860" s="370"/>
      <c r="E860" s="177">
        <v>0</v>
      </c>
      <c r="F860" s="177">
        <v>0</v>
      </c>
      <c r="G860" s="25"/>
      <c r="H860" s="177">
        <v>55027.11</v>
      </c>
      <c r="I860" s="25"/>
      <c r="J860" s="177">
        <v>-55027.11</v>
      </c>
      <c r="K860" s="25">
        <f t="shared" si="13"/>
        <v>-55027.11</v>
      </c>
    </row>
    <row r="861" spans="1:11" ht="15.95" customHeight="1" x14ac:dyDescent="0.2">
      <c r="A861" s="156" t="s">
        <v>1407</v>
      </c>
      <c r="B861" s="369" t="s">
        <v>1403</v>
      </c>
      <c r="C861" s="370"/>
      <c r="D861" s="370"/>
      <c r="E861" s="177">
        <v>0</v>
      </c>
      <c r="F861" s="177">
        <v>0</v>
      </c>
      <c r="G861" s="25"/>
      <c r="H861" s="177">
        <v>20765.07</v>
      </c>
      <c r="I861" s="25"/>
      <c r="J861" s="177">
        <v>-20765.07</v>
      </c>
      <c r="K861" s="25">
        <f t="shared" si="13"/>
        <v>-20765.07</v>
      </c>
    </row>
    <row r="862" spans="1:11" ht="15.95" customHeight="1" x14ac:dyDescent="0.2">
      <c r="A862" s="156" t="s">
        <v>1408</v>
      </c>
      <c r="B862" s="369" t="s">
        <v>1409</v>
      </c>
      <c r="C862" s="370"/>
      <c r="D862" s="370"/>
      <c r="E862" s="177">
        <v>0</v>
      </c>
      <c r="F862" s="177">
        <v>31.02</v>
      </c>
      <c r="G862" s="25"/>
      <c r="H862" s="177">
        <v>1992803.01</v>
      </c>
      <c r="I862" s="25"/>
      <c r="J862" s="177">
        <v>-1992771.99</v>
      </c>
      <c r="K862" s="25">
        <f t="shared" si="13"/>
        <v>-1992771.99</v>
      </c>
    </row>
    <row r="863" spans="1:11" ht="15.95" customHeight="1" x14ac:dyDescent="0.2">
      <c r="A863" s="156" t="s">
        <v>1873</v>
      </c>
      <c r="B863" s="369" t="s">
        <v>1874</v>
      </c>
      <c r="C863" s="370"/>
      <c r="D863" s="370"/>
      <c r="E863" s="177">
        <v>0</v>
      </c>
      <c r="F863" s="177">
        <v>0</v>
      </c>
      <c r="G863" s="25"/>
      <c r="H863" s="177">
        <v>500</v>
      </c>
      <c r="I863" s="25"/>
      <c r="J863" s="177">
        <v>-500</v>
      </c>
      <c r="K863" s="25">
        <f t="shared" si="13"/>
        <v>-500</v>
      </c>
    </row>
    <row r="864" spans="1:11" ht="15.95" customHeight="1" x14ac:dyDescent="0.2">
      <c r="A864" s="156">
        <v>624</v>
      </c>
      <c r="B864" s="369" t="s">
        <v>1410</v>
      </c>
      <c r="C864" s="370"/>
      <c r="D864" s="370"/>
      <c r="E864" s="177">
        <v>0</v>
      </c>
      <c r="F864" s="177">
        <v>2655532.2599999998</v>
      </c>
      <c r="G864" s="25"/>
      <c r="H864" s="177">
        <v>232590.05</v>
      </c>
      <c r="I864" s="25"/>
      <c r="J864" s="177">
        <v>2422942.21</v>
      </c>
      <c r="K864" s="25">
        <f t="shared" si="13"/>
        <v>2422942.21</v>
      </c>
    </row>
    <row r="865" spans="1:11" ht="15.95" customHeight="1" x14ac:dyDescent="0.2">
      <c r="A865" s="156">
        <v>62401</v>
      </c>
      <c r="B865" s="369" t="s">
        <v>1410</v>
      </c>
      <c r="C865" s="370"/>
      <c r="D865" s="370"/>
      <c r="E865" s="177">
        <v>0</v>
      </c>
      <c r="F865" s="177">
        <v>2655532.2599999998</v>
      </c>
      <c r="G865" s="25"/>
      <c r="H865" s="177">
        <v>232590.05</v>
      </c>
      <c r="I865" s="25"/>
      <c r="J865" s="177">
        <v>2422942.21</v>
      </c>
      <c r="K865" s="25">
        <f t="shared" si="13"/>
        <v>2422942.21</v>
      </c>
    </row>
    <row r="866" spans="1:11" ht="27.95" customHeight="1" x14ac:dyDescent="0.2">
      <c r="A866" s="156">
        <v>6240101</v>
      </c>
      <c r="B866" s="369" t="s">
        <v>1410</v>
      </c>
      <c r="C866" s="370"/>
      <c r="D866" s="370"/>
      <c r="E866" s="177">
        <v>0</v>
      </c>
      <c r="F866" s="177">
        <v>2655532.2599999998</v>
      </c>
      <c r="G866" s="25"/>
      <c r="H866" s="177">
        <v>232590.05</v>
      </c>
      <c r="I866" s="25"/>
      <c r="J866" s="177">
        <v>2422942.21</v>
      </c>
      <c r="K866" s="25">
        <f t="shared" si="13"/>
        <v>2422942.21</v>
      </c>
    </row>
    <row r="867" spans="1:11" ht="15.95" customHeight="1" x14ac:dyDescent="0.2">
      <c r="A867" s="156" t="s">
        <v>1411</v>
      </c>
      <c r="B867" s="369" t="s">
        <v>1412</v>
      </c>
      <c r="C867" s="370"/>
      <c r="D867" s="370"/>
      <c r="E867" s="177">
        <v>0</v>
      </c>
      <c r="F867" s="177">
        <v>2422942.21</v>
      </c>
      <c r="G867" s="25"/>
      <c r="H867" s="177">
        <v>232590.05</v>
      </c>
      <c r="I867" s="25"/>
      <c r="J867" s="177">
        <v>2190352.16</v>
      </c>
      <c r="K867" s="25">
        <f t="shared" si="13"/>
        <v>2190352.16</v>
      </c>
    </row>
    <row r="868" spans="1:11" ht="15.95" customHeight="1" x14ac:dyDescent="0.2">
      <c r="A868" s="156" t="s">
        <v>1875</v>
      </c>
      <c r="B868" s="369" t="s">
        <v>1876</v>
      </c>
      <c r="C868" s="370"/>
      <c r="D868" s="370"/>
      <c r="E868" s="177">
        <v>0</v>
      </c>
      <c r="F868" s="177">
        <v>232590.05</v>
      </c>
      <c r="G868" s="25"/>
      <c r="H868" s="177">
        <v>0</v>
      </c>
      <c r="I868" s="25"/>
      <c r="J868" s="177">
        <v>232590.05</v>
      </c>
      <c r="K868" s="25">
        <f t="shared" si="13"/>
        <v>232590.05</v>
      </c>
    </row>
    <row r="869" spans="1:11" ht="15.95" customHeight="1" x14ac:dyDescent="0.2">
      <c r="A869" s="156">
        <v>625</v>
      </c>
      <c r="B869" s="369" t="s">
        <v>1413</v>
      </c>
      <c r="C869" s="370"/>
      <c r="D869" s="370"/>
      <c r="E869" s="177">
        <v>0</v>
      </c>
      <c r="F869" s="177">
        <v>624824.18000000005</v>
      </c>
      <c r="G869" s="25"/>
      <c r="H869" s="177">
        <v>4892.66</v>
      </c>
      <c r="I869" s="25"/>
      <c r="J869" s="177">
        <v>619931.52</v>
      </c>
      <c r="K869" s="25">
        <f t="shared" si="13"/>
        <v>619931.52</v>
      </c>
    </row>
    <row r="870" spans="1:11" ht="15.95" customHeight="1" x14ac:dyDescent="0.2">
      <c r="A870" s="156">
        <v>62501</v>
      </c>
      <c r="B870" s="369" t="s">
        <v>1413</v>
      </c>
      <c r="C870" s="370"/>
      <c r="D870" s="370"/>
      <c r="E870" s="177">
        <v>0</v>
      </c>
      <c r="F870" s="177">
        <v>624824.18000000005</v>
      </c>
      <c r="G870" s="25"/>
      <c r="H870" s="177">
        <v>4892.66</v>
      </c>
      <c r="I870" s="25"/>
      <c r="J870" s="177">
        <v>619931.52</v>
      </c>
      <c r="K870" s="25">
        <f t="shared" si="13"/>
        <v>619931.52</v>
      </c>
    </row>
    <row r="871" spans="1:11" ht="15.95" customHeight="1" x14ac:dyDescent="0.2">
      <c r="A871" s="156">
        <v>6250101</v>
      </c>
      <c r="B871" s="369" t="s">
        <v>1414</v>
      </c>
      <c r="C871" s="370"/>
      <c r="D871" s="370"/>
      <c r="E871" s="177">
        <v>0</v>
      </c>
      <c r="F871" s="177">
        <v>624824.18000000005</v>
      </c>
      <c r="G871" s="25"/>
      <c r="H871" s="177">
        <v>4892.66</v>
      </c>
      <c r="I871" s="25"/>
      <c r="J871" s="177">
        <v>619931.52</v>
      </c>
      <c r="K871" s="25">
        <f t="shared" si="13"/>
        <v>619931.52</v>
      </c>
    </row>
    <row r="872" spans="1:11" ht="15.95" customHeight="1" x14ac:dyDescent="0.2">
      <c r="A872" s="156" t="s">
        <v>1415</v>
      </c>
      <c r="B872" s="369" t="s">
        <v>1416</v>
      </c>
      <c r="C872" s="370"/>
      <c r="D872" s="370"/>
      <c r="E872" s="177">
        <v>0</v>
      </c>
      <c r="F872" s="177">
        <v>517162.96</v>
      </c>
      <c r="G872" s="25"/>
      <c r="H872" s="177">
        <v>4892.66</v>
      </c>
      <c r="I872" s="25"/>
      <c r="J872" s="177">
        <v>512270.3</v>
      </c>
      <c r="K872" s="25">
        <f t="shared" si="13"/>
        <v>512270.3</v>
      </c>
    </row>
    <row r="873" spans="1:11" ht="15.95" customHeight="1" x14ac:dyDescent="0.2">
      <c r="A873" s="156" t="s">
        <v>1417</v>
      </c>
      <c r="B873" s="369" t="s">
        <v>1418</v>
      </c>
      <c r="C873" s="370"/>
      <c r="D873" s="370"/>
      <c r="E873" s="177">
        <v>0</v>
      </c>
      <c r="F873" s="177">
        <v>107661.22</v>
      </c>
      <c r="G873" s="25"/>
      <c r="H873" s="177">
        <v>0</v>
      </c>
      <c r="I873" s="25"/>
      <c r="J873" s="177">
        <v>107661.22</v>
      </c>
      <c r="K873" s="25">
        <f t="shared" si="13"/>
        <v>107661.22</v>
      </c>
    </row>
    <row r="874" spans="1:11" ht="15.95" customHeight="1" x14ac:dyDescent="0.2">
      <c r="A874" s="156">
        <v>9</v>
      </c>
      <c r="B874" s="369" t="s">
        <v>1419</v>
      </c>
      <c r="C874" s="370"/>
      <c r="D874" s="370"/>
      <c r="E874" s="177">
        <v>0</v>
      </c>
      <c r="F874" s="177">
        <v>380775.73</v>
      </c>
      <c r="G874" s="25"/>
      <c r="H874" s="177">
        <v>8168838.6600000001</v>
      </c>
      <c r="I874" s="25"/>
      <c r="J874" s="177">
        <v>-7788062.9299999997</v>
      </c>
      <c r="K874" s="25">
        <f t="shared" si="13"/>
        <v>-7788062.9299999997</v>
      </c>
    </row>
    <row r="875" spans="1:11" ht="15.95" customHeight="1" x14ac:dyDescent="0.2">
      <c r="A875" s="156">
        <v>91</v>
      </c>
      <c r="B875" s="369" t="s">
        <v>1420</v>
      </c>
      <c r="C875" s="370"/>
      <c r="D875" s="370"/>
      <c r="E875" s="177">
        <v>0</v>
      </c>
      <c r="F875" s="177">
        <v>380775.73</v>
      </c>
      <c r="G875" s="25"/>
      <c r="H875" s="177">
        <v>8168838.6600000001</v>
      </c>
      <c r="I875" s="25"/>
      <c r="J875" s="177">
        <v>-7788062.9299999997</v>
      </c>
      <c r="K875" s="25">
        <f t="shared" si="13"/>
        <v>-7788062.9299999997</v>
      </c>
    </row>
    <row r="876" spans="1:11" ht="15.95" customHeight="1" x14ac:dyDescent="0.2">
      <c r="A876" s="156">
        <v>911</v>
      </c>
      <c r="B876" s="369" t="s">
        <v>1421</v>
      </c>
      <c r="C876" s="370"/>
      <c r="D876" s="370"/>
      <c r="E876" s="177">
        <v>0</v>
      </c>
      <c r="F876" s="177">
        <v>380775.73</v>
      </c>
      <c r="G876" s="25"/>
      <c r="H876" s="177">
        <v>8168838.6600000001</v>
      </c>
      <c r="I876" s="25"/>
      <c r="J876" s="177">
        <v>-7788062.9299999997</v>
      </c>
      <c r="K876" s="25">
        <f t="shared" si="13"/>
        <v>-7788062.9299999997</v>
      </c>
    </row>
    <row r="877" spans="1:11" ht="15.95" customHeight="1" x14ac:dyDescent="0.2">
      <c r="A877" s="156">
        <v>91101</v>
      </c>
      <c r="B877" s="369" t="s">
        <v>1110</v>
      </c>
      <c r="C877" s="370"/>
      <c r="D877" s="370"/>
      <c r="E877" s="177">
        <v>0</v>
      </c>
      <c r="F877" s="177">
        <v>380775.73</v>
      </c>
      <c r="G877" s="25"/>
      <c r="H877" s="177">
        <v>8168838.6600000001</v>
      </c>
      <c r="I877" s="25"/>
      <c r="J877" s="177">
        <v>-7788062.9299999997</v>
      </c>
      <c r="K877" s="25">
        <f t="shared" si="13"/>
        <v>-7788062.9299999997</v>
      </c>
    </row>
    <row r="878" spans="1:11" ht="15.95" customHeight="1" x14ac:dyDescent="0.2">
      <c r="A878" s="156">
        <v>9110101</v>
      </c>
      <c r="B878" s="369" t="s">
        <v>1110</v>
      </c>
      <c r="C878" s="370"/>
      <c r="D878" s="370"/>
      <c r="E878" s="177">
        <v>0</v>
      </c>
      <c r="F878" s="177">
        <v>380775.73</v>
      </c>
      <c r="G878" s="25"/>
      <c r="H878" s="177">
        <v>8168838.6600000001</v>
      </c>
      <c r="I878" s="25"/>
      <c r="J878" s="177">
        <v>-7788062.9299999997</v>
      </c>
      <c r="K878" s="25">
        <f t="shared" si="13"/>
        <v>-7788062.9299999997</v>
      </c>
    </row>
    <row r="879" spans="1:11" ht="17.100000000000001" customHeight="1" x14ac:dyDescent="0.2">
      <c r="A879" s="156" t="s">
        <v>1422</v>
      </c>
      <c r="B879" s="369" t="s">
        <v>1110</v>
      </c>
      <c r="C879" s="370"/>
      <c r="D879" s="370"/>
      <c r="E879" s="177">
        <v>0</v>
      </c>
      <c r="F879" s="177">
        <v>380775.73</v>
      </c>
      <c r="G879" s="25"/>
      <c r="H879" s="177">
        <v>8168838.6600000001</v>
      </c>
      <c r="I879" s="25"/>
      <c r="J879" s="177">
        <v>-7788062.9299999997</v>
      </c>
      <c r="K879" s="25">
        <f t="shared" si="13"/>
        <v>-7788062.9299999997</v>
      </c>
    </row>
    <row r="880" spans="1:11" ht="24.95" customHeight="1" x14ac:dyDescent="0.2">
      <c r="E880" s="177">
        <v>0</v>
      </c>
      <c r="F880" s="177">
        <v>373773335.16000003</v>
      </c>
      <c r="G880" s="25"/>
      <c r="H880" s="177">
        <v>373773335.16000003</v>
      </c>
      <c r="I880" s="25"/>
      <c r="J880" s="177">
        <v>0</v>
      </c>
      <c r="K880" s="25">
        <f t="shared" si="13"/>
        <v>0</v>
      </c>
    </row>
    <row r="881" spans="1:10" ht="15.95" customHeight="1" x14ac:dyDescent="0.2">
      <c r="A881" s="397" t="s">
        <v>1805</v>
      </c>
      <c r="B881" s="370"/>
      <c r="C881" s="370"/>
      <c r="D881" s="160" t="s">
        <v>1806</v>
      </c>
      <c r="J881" s="161" t="s">
        <v>1591</v>
      </c>
    </row>
  </sheetData>
  <autoFilter ref="A1:J881"/>
  <mergeCells count="878"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8:D8"/>
    <mergeCell ref="B15:D15"/>
    <mergeCell ref="B16:D16"/>
    <mergeCell ref="B17:D17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showGridLines="0" topLeftCell="A78" zoomScale="126" zoomScaleNormal="126" workbookViewId="0">
      <selection activeCell="E97" sqref="E97"/>
    </sheetView>
  </sheetViews>
  <sheetFormatPr defaultRowHeight="12.75" x14ac:dyDescent="0.2"/>
  <cols>
    <col min="1" max="1" width="50.7109375" customWidth="1"/>
    <col min="2" max="2" width="2.7109375" style="20" customWidth="1"/>
    <col min="3" max="3" width="12.7109375" hidden="1" customWidth="1"/>
    <col min="4" max="4" width="2.7109375" customWidth="1"/>
    <col min="5" max="5" width="3.140625" customWidth="1"/>
    <col min="6" max="6" width="3.140625" style="20" customWidth="1"/>
    <col min="7" max="7" width="12.7109375" style="20" customWidth="1"/>
    <col min="8" max="9" width="2.7109375" hidden="1" customWidth="1"/>
    <col min="10" max="12" width="2.7109375" style="162" hidden="1" customWidth="1"/>
    <col min="13" max="13" width="12.7109375" style="20" customWidth="1"/>
    <col min="14" max="14" width="3.42578125" customWidth="1"/>
    <col min="15" max="15" width="9.7109375" bestFit="1" customWidth="1"/>
    <col min="16" max="16" width="3.42578125" style="317" customWidth="1"/>
    <col min="17" max="17" width="10" customWidth="1"/>
    <col min="237" max="237" width="56.42578125" bestFit="1" customWidth="1"/>
    <col min="238" max="238" width="12.7109375" bestFit="1" customWidth="1"/>
    <col min="239" max="239" width="2.7109375" customWidth="1"/>
    <col min="240" max="240" width="12.7109375" bestFit="1" customWidth="1"/>
    <col min="241" max="241" width="2.7109375" customWidth="1"/>
    <col min="243" max="243" width="12.5703125" bestFit="1" customWidth="1"/>
    <col min="493" max="493" width="56.42578125" bestFit="1" customWidth="1"/>
    <col min="494" max="494" width="12.7109375" bestFit="1" customWidth="1"/>
    <col min="495" max="495" width="2.7109375" customWidth="1"/>
    <col min="496" max="496" width="12.7109375" bestFit="1" customWidth="1"/>
    <col min="497" max="497" width="2.7109375" customWidth="1"/>
    <col min="499" max="499" width="12.5703125" bestFit="1" customWidth="1"/>
    <col min="749" max="749" width="56.42578125" bestFit="1" customWidth="1"/>
    <col min="750" max="750" width="12.7109375" bestFit="1" customWidth="1"/>
    <col min="751" max="751" width="2.7109375" customWidth="1"/>
    <col min="752" max="752" width="12.7109375" bestFit="1" customWidth="1"/>
    <col min="753" max="753" width="2.7109375" customWidth="1"/>
    <col min="755" max="755" width="12.5703125" bestFit="1" customWidth="1"/>
    <col min="1005" max="1005" width="56.42578125" bestFit="1" customWidth="1"/>
    <col min="1006" max="1006" width="12.7109375" bestFit="1" customWidth="1"/>
    <col min="1007" max="1007" width="2.7109375" customWidth="1"/>
    <col min="1008" max="1008" width="12.7109375" bestFit="1" customWidth="1"/>
    <col min="1009" max="1009" width="2.7109375" customWidth="1"/>
    <col min="1011" max="1011" width="12.5703125" bestFit="1" customWidth="1"/>
    <col min="1261" max="1261" width="56.42578125" bestFit="1" customWidth="1"/>
    <col min="1262" max="1262" width="12.7109375" bestFit="1" customWidth="1"/>
    <col min="1263" max="1263" width="2.7109375" customWidth="1"/>
    <col min="1264" max="1264" width="12.7109375" bestFit="1" customWidth="1"/>
    <col min="1265" max="1265" width="2.7109375" customWidth="1"/>
    <col min="1267" max="1267" width="12.5703125" bestFit="1" customWidth="1"/>
    <col min="1517" max="1517" width="56.42578125" bestFit="1" customWidth="1"/>
    <col min="1518" max="1518" width="12.7109375" bestFit="1" customWidth="1"/>
    <col min="1519" max="1519" width="2.7109375" customWidth="1"/>
    <col min="1520" max="1520" width="12.7109375" bestFit="1" customWidth="1"/>
    <col min="1521" max="1521" width="2.7109375" customWidth="1"/>
    <col min="1523" max="1523" width="12.5703125" bestFit="1" customWidth="1"/>
    <col min="1773" max="1773" width="56.42578125" bestFit="1" customWidth="1"/>
    <col min="1774" max="1774" width="12.7109375" bestFit="1" customWidth="1"/>
    <col min="1775" max="1775" width="2.7109375" customWidth="1"/>
    <col min="1776" max="1776" width="12.7109375" bestFit="1" customWidth="1"/>
    <col min="1777" max="1777" width="2.7109375" customWidth="1"/>
    <col min="1779" max="1779" width="12.5703125" bestFit="1" customWidth="1"/>
    <col min="2029" max="2029" width="56.42578125" bestFit="1" customWidth="1"/>
    <col min="2030" max="2030" width="12.7109375" bestFit="1" customWidth="1"/>
    <col min="2031" max="2031" width="2.7109375" customWidth="1"/>
    <col min="2032" max="2032" width="12.7109375" bestFit="1" customWidth="1"/>
    <col min="2033" max="2033" width="2.7109375" customWidth="1"/>
    <col min="2035" max="2035" width="12.5703125" bestFit="1" customWidth="1"/>
    <col min="2285" max="2285" width="56.42578125" bestFit="1" customWidth="1"/>
    <col min="2286" max="2286" width="12.7109375" bestFit="1" customWidth="1"/>
    <col min="2287" max="2287" width="2.7109375" customWidth="1"/>
    <col min="2288" max="2288" width="12.7109375" bestFit="1" customWidth="1"/>
    <col min="2289" max="2289" width="2.7109375" customWidth="1"/>
    <col min="2291" max="2291" width="12.5703125" bestFit="1" customWidth="1"/>
    <col min="2541" max="2541" width="56.42578125" bestFit="1" customWidth="1"/>
    <col min="2542" max="2542" width="12.7109375" bestFit="1" customWidth="1"/>
    <col min="2543" max="2543" width="2.7109375" customWidth="1"/>
    <col min="2544" max="2544" width="12.7109375" bestFit="1" customWidth="1"/>
    <col min="2545" max="2545" width="2.7109375" customWidth="1"/>
    <col min="2547" max="2547" width="12.5703125" bestFit="1" customWidth="1"/>
    <col min="2797" max="2797" width="56.42578125" bestFit="1" customWidth="1"/>
    <col min="2798" max="2798" width="12.7109375" bestFit="1" customWidth="1"/>
    <col min="2799" max="2799" width="2.7109375" customWidth="1"/>
    <col min="2800" max="2800" width="12.7109375" bestFit="1" customWidth="1"/>
    <col min="2801" max="2801" width="2.7109375" customWidth="1"/>
    <col min="2803" max="2803" width="12.5703125" bestFit="1" customWidth="1"/>
    <col min="3053" max="3053" width="56.42578125" bestFit="1" customWidth="1"/>
    <col min="3054" max="3054" width="12.7109375" bestFit="1" customWidth="1"/>
    <col min="3055" max="3055" width="2.7109375" customWidth="1"/>
    <col min="3056" max="3056" width="12.7109375" bestFit="1" customWidth="1"/>
    <col min="3057" max="3057" width="2.7109375" customWidth="1"/>
    <col min="3059" max="3059" width="12.5703125" bestFit="1" customWidth="1"/>
    <col min="3309" max="3309" width="56.42578125" bestFit="1" customWidth="1"/>
    <col min="3310" max="3310" width="12.7109375" bestFit="1" customWidth="1"/>
    <col min="3311" max="3311" width="2.7109375" customWidth="1"/>
    <col min="3312" max="3312" width="12.7109375" bestFit="1" customWidth="1"/>
    <col min="3313" max="3313" width="2.7109375" customWidth="1"/>
    <col min="3315" max="3315" width="12.5703125" bestFit="1" customWidth="1"/>
    <col min="3565" max="3565" width="56.42578125" bestFit="1" customWidth="1"/>
    <col min="3566" max="3566" width="12.7109375" bestFit="1" customWidth="1"/>
    <col min="3567" max="3567" width="2.7109375" customWidth="1"/>
    <col min="3568" max="3568" width="12.7109375" bestFit="1" customWidth="1"/>
    <col min="3569" max="3569" width="2.7109375" customWidth="1"/>
    <col min="3571" max="3571" width="12.5703125" bestFit="1" customWidth="1"/>
    <col min="3821" max="3821" width="56.42578125" bestFit="1" customWidth="1"/>
    <col min="3822" max="3822" width="12.7109375" bestFit="1" customWidth="1"/>
    <col min="3823" max="3823" width="2.7109375" customWidth="1"/>
    <col min="3824" max="3824" width="12.7109375" bestFit="1" customWidth="1"/>
    <col min="3825" max="3825" width="2.7109375" customWidth="1"/>
    <col min="3827" max="3827" width="12.5703125" bestFit="1" customWidth="1"/>
    <col min="4077" max="4077" width="56.42578125" bestFit="1" customWidth="1"/>
    <col min="4078" max="4078" width="12.7109375" bestFit="1" customWidth="1"/>
    <col min="4079" max="4079" width="2.7109375" customWidth="1"/>
    <col min="4080" max="4080" width="12.7109375" bestFit="1" customWidth="1"/>
    <col min="4081" max="4081" width="2.7109375" customWidth="1"/>
    <col min="4083" max="4083" width="12.5703125" bestFit="1" customWidth="1"/>
    <col min="4333" max="4333" width="56.42578125" bestFit="1" customWidth="1"/>
    <col min="4334" max="4334" width="12.7109375" bestFit="1" customWidth="1"/>
    <col min="4335" max="4335" width="2.7109375" customWidth="1"/>
    <col min="4336" max="4336" width="12.7109375" bestFit="1" customWidth="1"/>
    <col min="4337" max="4337" width="2.7109375" customWidth="1"/>
    <col min="4339" max="4339" width="12.5703125" bestFit="1" customWidth="1"/>
    <col min="4589" max="4589" width="56.42578125" bestFit="1" customWidth="1"/>
    <col min="4590" max="4590" width="12.7109375" bestFit="1" customWidth="1"/>
    <col min="4591" max="4591" width="2.7109375" customWidth="1"/>
    <col min="4592" max="4592" width="12.7109375" bestFit="1" customWidth="1"/>
    <col min="4593" max="4593" width="2.7109375" customWidth="1"/>
    <col min="4595" max="4595" width="12.5703125" bestFit="1" customWidth="1"/>
    <col min="4845" max="4845" width="56.42578125" bestFit="1" customWidth="1"/>
    <col min="4846" max="4846" width="12.7109375" bestFit="1" customWidth="1"/>
    <col min="4847" max="4847" width="2.7109375" customWidth="1"/>
    <col min="4848" max="4848" width="12.7109375" bestFit="1" customWidth="1"/>
    <col min="4849" max="4849" width="2.7109375" customWidth="1"/>
    <col min="4851" max="4851" width="12.5703125" bestFit="1" customWidth="1"/>
    <col min="5101" max="5101" width="56.42578125" bestFit="1" customWidth="1"/>
    <col min="5102" max="5102" width="12.7109375" bestFit="1" customWidth="1"/>
    <col min="5103" max="5103" width="2.7109375" customWidth="1"/>
    <col min="5104" max="5104" width="12.7109375" bestFit="1" customWidth="1"/>
    <col min="5105" max="5105" width="2.7109375" customWidth="1"/>
    <col min="5107" max="5107" width="12.5703125" bestFit="1" customWidth="1"/>
    <col min="5357" max="5357" width="56.42578125" bestFit="1" customWidth="1"/>
    <col min="5358" max="5358" width="12.7109375" bestFit="1" customWidth="1"/>
    <col min="5359" max="5359" width="2.7109375" customWidth="1"/>
    <col min="5360" max="5360" width="12.7109375" bestFit="1" customWidth="1"/>
    <col min="5361" max="5361" width="2.7109375" customWidth="1"/>
    <col min="5363" max="5363" width="12.5703125" bestFit="1" customWidth="1"/>
    <col min="5613" max="5613" width="56.42578125" bestFit="1" customWidth="1"/>
    <col min="5614" max="5614" width="12.7109375" bestFit="1" customWidth="1"/>
    <col min="5615" max="5615" width="2.7109375" customWidth="1"/>
    <col min="5616" max="5616" width="12.7109375" bestFit="1" customWidth="1"/>
    <col min="5617" max="5617" width="2.7109375" customWidth="1"/>
    <col min="5619" max="5619" width="12.5703125" bestFit="1" customWidth="1"/>
    <col min="5869" max="5869" width="56.42578125" bestFit="1" customWidth="1"/>
    <col min="5870" max="5870" width="12.7109375" bestFit="1" customWidth="1"/>
    <col min="5871" max="5871" width="2.7109375" customWidth="1"/>
    <col min="5872" max="5872" width="12.7109375" bestFit="1" customWidth="1"/>
    <col min="5873" max="5873" width="2.7109375" customWidth="1"/>
    <col min="5875" max="5875" width="12.5703125" bestFit="1" customWidth="1"/>
    <col min="6125" max="6125" width="56.42578125" bestFit="1" customWidth="1"/>
    <col min="6126" max="6126" width="12.7109375" bestFit="1" customWidth="1"/>
    <col min="6127" max="6127" width="2.7109375" customWidth="1"/>
    <col min="6128" max="6128" width="12.7109375" bestFit="1" customWidth="1"/>
    <col min="6129" max="6129" width="2.7109375" customWidth="1"/>
    <col min="6131" max="6131" width="12.5703125" bestFit="1" customWidth="1"/>
    <col min="6381" max="6381" width="56.42578125" bestFit="1" customWidth="1"/>
    <col min="6382" max="6382" width="12.7109375" bestFit="1" customWidth="1"/>
    <col min="6383" max="6383" width="2.7109375" customWidth="1"/>
    <col min="6384" max="6384" width="12.7109375" bestFit="1" customWidth="1"/>
    <col min="6385" max="6385" width="2.7109375" customWidth="1"/>
    <col min="6387" max="6387" width="12.5703125" bestFit="1" customWidth="1"/>
    <col min="6637" max="6637" width="56.42578125" bestFit="1" customWidth="1"/>
    <col min="6638" max="6638" width="12.7109375" bestFit="1" customWidth="1"/>
    <col min="6639" max="6639" width="2.7109375" customWidth="1"/>
    <col min="6640" max="6640" width="12.7109375" bestFit="1" customWidth="1"/>
    <col min="6641" max="6641" width="2.7109375" customWidth="1"/>
    <col min="6643" max="6643" width="12.5703125" bestFit="1" customWidth="1"/>
    <col min="6893" max="6893" width="56.42578125" bestFit="1" customWidth="1"/>
    <col min="6894" max="6894" width="12.7109375" bestFit="1" customWidth="1"/>
    <col min="6895" max="6895" width="2.7109375" customWidth="1"/>
    <col min="6896" max="6896" width="12.7109375" bestFit="1" customWidth="1"/>
    <col min="6897" max="6897" width="2.7109375" customWidth="1"/>
    <col min="6899" max="6899" width="12.5703125" bestFit="1" customWidth="1"/>
    <col min="7149" max="7149" width="56.42578125" bestFit="1" customWidth="1"/>
    <col min="7150" max="7150" width="12.7109375" bestFit="1" customWidth="1"/>
    <col min="7151" max="7151" width="2.7109375" customWidth="1"/>
    <col min="7152" max="7152" width="12.7109375" bestFit="1" customWidth="1"/>
    <col min="7153" max="7153" width="2.7109375" customWidth="1"/>
    <col min="7155" max="7155" width="12.5703125" bestFit="1" customWidth="1"/>
    <col min="7405" max="7405" width="56.42578125" bestFit="1" customWidth="1"/>
    <col min="7406" max="7406" width="12.7109375" bestFit="1" customWidth="1"/>
    <col min="7407" max="7407" width="2.7109375" customWidth="1"/>
    <col min="7408" max="7408" width="12.7109375" bestFit="1" customWidth="1"/>
    <col min="7409" max="7409" width="2.7109375" customWidth="1"/>
    <col min="7411" max="7411" width="12.5703125" bestFit="1" customWidth="1"/>
    <col min="7661" max="7661" width="56.42578125" bestFit="1" customWidth="1"/>
    <col min="7662" max="7662" width="12.7109375" bestFit="1" customWidth="1"/>
    <col min="7663" max="7663" width="2.7109375" customWidth="1"/>
    <col min="7664" max="7664" width="12.7109375" bestFit="1" customWidth="1"/>
    <col min="7665" max="7665" width="2.7109375" customWidth="1"/>
    <col min="7667" max="7667" width="12.5703125" bestFit="1" customWidth="1"/>
    <col min="7917" max="7917" width="56.42578125" bestFit="1" customWidth="1"/>
    <col min="7918" max="7918" width="12.7109375" bestFit="1" customWidth="1"/>
    <col min="7919" max="7919" width="2.7109375" customWidth="1"/>
    <col min="7920" max="7920" width="12.7109375" bestFit="1" customWidth="1"/>
    <col min="7921" max="7921" width="2.7109375" customWidth="1"/>
    <col min="7923" max="7923" width="12.5703125" bestFit="1" customWidth="1"/>
    <col min="8173" max="8173" width="56.42578125" bestFit="1" customWidth="1"/>
    <col min="8174" max="8174" width="12.7109375" bestFit="1" customWidth="1"/>
    <col min="8175" max="8175" width="2.7109375" customWidth="1"/>
    <col min="8176" max="8176" width="12.7109375" bestFit="1" customWidth="1"/>
    <col min="8177" max="8177" width="2.7109375" customWidth="1"/>
    <col min="8179" max="8179" width="12.5703125" bestFit="1" customWidth="1"/>
    <col min="8429" max="8429" width="56.42578125" bestFit="1" customWidth="1"/>
    <col min="8430" max="8430" width="12.7109375" bestFit="1" customWidth="1"/>
    <col min="8431" max="8431" width="2.7109375" customWidth="1"/>
    <col min="8432" max="8432" width="12.7109375" bestFit="1" customWidth="1"/>
    <col min="8433" max="8433" width="2.7109375" customWidth="1"/>
    <col min="8435" max="8435" width="12.5703125" bestFit="1" customWidth="1"/>
    <col min="8685" max="8685" width="56.42578125" bestFit="1" customWidth="1"/>
    <col min="8686" max="8686" width="12.7109375" bestFit="1" customWidth="1"/>
    <col min="8687" max="8687" width="2.7109375" customWidth="1"/>
    <col min="8688" max="8688" width="12.7109375" bestFit="1" customWidth="1"/>
    <col min="8689" max="8689" width="2.7109375" customWidth="1"/>
    <col min="8691" max="8691" width="12.5703125" bestFit="1" customWidth="1"/>
    <col min="8941" max="8941" width="56.42578125" bestFit="1" customWidth="1"/>
    <col min="8942" max="8942" width="12.7109375" bestFit="1" customWidth="1"/>
    <col min="8943" max="8943" width="2.7109375" customWidth="1"/>
    <col min="8944" max="8944" width="12.7109375" bestFit="1" customWidth="1"/>
    <col min="8945" max="8945" width="2.7109375" customWidth="1"/>
    <col min="8947" max="8947" width="12.5703125" bestFit="1" customWidth="1"/>
    <col min="9197" max="9197" width="56.42578125" bestFit="1" customWidth="1"/>
    <col min="9198" max="9198" width="12.7109375" bestFit="1" customWidth="1"/>
    <col min="9199" max="9199" width="2.7109375" customWidth="1"/>
    <col min="9200" max="9200" width="12.7109375" bestFit="1" customWidth="1"/>
    <col min="9201" max="9201" width="2.7109375" customWidth="1"/>
    <col min="9203" max="9203" width="12.5703125" bestFit="1" customWidth="1"/>
    <col min="9453" max="9453" width="56.42578125" bestFit="1" customWidth="1"/>
    <col min="9454" max="9454" width="12.7109375" bestFit="1" customWidth="1"/>
    <col min="9455" max="9455" width="2.7109375" customWidth="1"/>
    <col min="9456" max="9456" width="12.7109375" bestFit="1" customWidth="1"/>
    <col min="9457" max="9457" width="2.7109375" customWidth="1"/>
    <col min="9459" max="9459" width="12.5703125" bestFit="1" customWidth="1"/>
    <col min="9709" max="9709" width="56.42578125" bestFit="1" customWidth="1"/>
    <col min="9710" max="9710" width="12.7109375" bestFit="1" customWidth="1"/>
    <col min="9711" max="9711" width="2.7109375" customWidth="1"/>
    <col min="9712" max="9712" width="12.7109375" bestFit="1" customWidth="1"/>
    <col min="9713" max="9713" width="2.7109375" customWidth="1"/>
    <col min="9715" max="9715" width="12.5703125" bestFit="1" customWidth="1"/>
    <col min="9965" max="9965" width="56.42578125" bestFit="1" customWidth="1"/>
    <col min="9966" max="9966" width="12.7109375" bestFit="1" customWidth="1"/>
    <col min="9967" max="9967" width="2.7109375" customWidth="1"/>
    <col min="9968" max="9968" width="12.7109375" bestFit="1" customWidth="1"/>
    <col min="9969" max="9969" width="2.7109375" customWidth="1"/>
    <col min="9971" max="9971" width="12.5703125" bestFit="1" customWidth="1"/>
    <col min="10221" max="10221" width="56.42578125" bestFit="1" customWidth="1"/>
    <col min="10222" max="10222" width="12.7109375" bestFit="1" customWidth="1"/>
    <col min="10223" max="10223" width="2.7109375" customWidth="1"/>
    <col min="10224" max="10224" width="12.7109375" bestFit="1" customWidth="1"/>
    <col min="10225" max="10225" width="2.7109375" customWidth="1"/>
    <col min="10227" max="10227" width="12.5703125" bestFit="1" customWidth="1"/>
    <col min="10477" max="10477" width="56.42578125" bestFit="1" customWidth="1"/>
    <col min="10478" max="10478" width="12.7109375" bestFit="1" customWidth="1"/>
    <col min="10479" max="10479" width="2.7109375" customWidth="1"/>
    <col min="10480" max="10480" width="12.7109375" bestFit="1" customWidth="1"/>
    <col min="10481" max="10481" width="2.7109375" customWidth="1"/>
    <col min="10483" max="10483" width="12.5703125" bestFit="1" customWidth="1"/>
    <col min="10733" max="10733" width="56.42578125" bestFit="1" customWidth="1"/>
    <col min="10734" max="10734" width="12.7109375" bestFit="1" customWidth="1"/>
    <col min="10735" max="10735" width="2.7109375" customWidth="1"/>
    <col min="10736" max="10736" width="12.7109375" bestFit="1" customWidth="1"/>
    <col min="10737" max="10737" width="2.7109375" customWidth="1"/>
    <col min="10739" max="10739" width="12.5703125" bestFit="1" customWidth="1"/>
    <col min="10989" max="10989" width="56.42578125" bestFit="1" customWidth="1"/>
    <col min="10990" max="10990" width="12.7109375" bestFit="1" customWidth="1"/>
    <col min="10991" max="10991" width="2.7109375" customWidth="1"/>
    <col min="10992" max="10992" width="12.7109375" bestFit="1" customWidth="1"/>
    <col min="10993" max="10993" width="2.7109375" customWidth="1"/>
    <col min="10995" max="10995" width="12.5703125" bestFit="1" customWidth="1"/>
    <col min="11245" max="11245" width="56.42578125" bestFit="1" customWidth="1"/>
    <col min="11246" max="11246" width="12.7109375" bestFit="1" customWidth="1"/>
    <col min="11247" max="11247" width="2.7109375" customWidth="1"/>
    <col min="11248" max="11248" width="12.7109375" bestFit="1" customWidth="1"/>
    <col min="11249" max="11249" width="2.7109375" customWidth="1"/>
    <col min="11251" max="11251" width="12.5703125" bestFit="1" customWidth="1"/>
    <col min="11501" max="11501" width="56.42578125" bestFit="1" customWidth="1"/>
    <col min="11502" max="11502" width="12.7109375" bestFit="1" customWidth="1"/>
    <col min="11503" max="11503" width="2.7109375" customWidth="1"/>
    <col min="11504" max="11504" width="12.7109375" bestFit="1" customWidth="1"/>
    <col min="11505" max="11505" width="2.7109375" customWidth="1"/>
    <col min="11507" max="11507" width="12.5703125" bestFit="1" customWidth="1"/>
    <col min="11757" max="11757" width="56.42578125" bestFit="1" customWidth="1"/>
    <col min="11758" max="11758" width="12.7109375" bestFit="1" customWidth="1"/>
    <col min="11759" max="11759" width="2.7109375" customWidth="1"/>
    <col min="11760" max="11760" width="12.7109375" bestFit="1" customWidth="1"/>
    <col min="11761" max="11761" width="2.7109375" customWidth="1"/>
    <col min="11763" max="11763" width="12.5703125" bestFit="1" customWidth="1"/>
    <col min="12013" max="12013" width="56.42578125" bestFit="1" customWidth="1"/>
    <col min="12014" max="12014" width="12.7109375" bestFit="1" customWidth="1"/>
    <col min="12015" max="12015" width="2.7109375" customWidth="1"/>
    <col min="12016" max="12016" width="12.7109375" bestFit="1" customWidth="1"/>
    <col min="12017" max="12017" width="2.7109375" customWidth="1"/>
    <col min="12019" max="12019" width="12.5703125" bestFit="1" customWidth="1"/>
    <col min="12269" max="12269" width="56.42578125" bestFit="1" customWidth="1"/>
    <col min="12270" max="12270" width="12.7109375" bestFit="1" customWidth="1"/>
    <col min="12271" max="12271" width="2.7109375" customWidth="1"/>
    <col min="12272" max="12272" width="12.7109375" bestFit="1" customWidth="1"/>
    <col min="12273" max="12273" width="2.7109375" customWidth="1"/>
    <col min="12275" max="12275" width="12.5703125" bestFit="1" customWidth="1"/>
    <col min="12525" max="12525" width="56.42578125" bestFit="1" customWidth="1"/>
    <col min="12526" max="12526" width="12.7109375" bestFit="1" customWidth="1"/>
    <col min="12527" max="12527" width="2.7109375" customWidth="1"/>
    <col min="12528" max="12528" width="12.7109375" bestFit="1" customWidth="1"/>
    <col min="12529" max="12529" width="2.7109375" customWidth="1"/>
    <col min="12531" max="12531" width="12.5703125" bestFit="1" customWidth="1"/>
    <col min="12781" max="12781" width="56.42578125" bestFit="1" customWidth="1"/>
    <col min="12782" max="12782" width="12.7109375" bestFit="1" customWidth="1"/>
    <col min="12783" max="12783" width="2.7109375" customWidth="1"/>
    <col min="12784" max="12784" width="12.7109375" bestFit="1" customWidth="1"/>
    <col min="12785" max="12785" width="2.7109375" customWidth="1"/>
    <col min="12787" max="12787" width="12.5703125" bestFit="1" customWidth="1"/>
    <col min="13037" max="13037" width="56.42578125" bestFit="1" customWidth="1"/>
    <col min="13038" max="13038" width="12.7109375" bestFit="1" customWidth="1"/>
    <col min="13039" max="13039" width="2.7109375" customWidth="1"/>
    <col min="13040" max="13040" width="12.7109375" bestFit="1" customWidth="1"/>
    <col min="13041" max="13041" width="2.7109375" customWidth="1"/>
    <col min="13043" max="13043" width="12.5703125" bestFit="1" customWidth="1"/>
    <col min="13293" max="13293" width="56.42578125" bestFit="1" customWidth="1"/>
    <col min="13294" max="13294" width="12.7109375" bestFit="1" customWidth="1"/>
    <col min="13295" max="13295" width="2.7109375" customWidth="1"/>
    <col min="13296" max="13296" width="12.7109375" bestFit="1" customWidth="1"/>
    <col min="13297" max="13297" width="2.7109375" customWidth="1"/>
    <col min="13299" max="13299" width="12.5703125" bestFit="1" customWidth="1"/>
    <col min="13549" max="13549" width="56.42578125" bestFit="1" customWidth="1"/>
    <col min="13550" max="13550" width="12.7109375" bestFit="1" customWidth="1"/>
    <col min="13551" max="13551" width="2.7109375" customWidth="1"/>
    <col min="13552" max="13552" width="12.7109375" bestFit="1" customWidth="1"/>
    <col min="13553" max="13553" width="2.7109375" customWidth="1"/>
    <col min="13555" max="13555" width="12.5703125" bestFit="1" customWidth="1"/>
    <col min="13805" max="13805" width="56.42578125" bestFit="1" customWidth="1"/>
    <col min="13806" max="13806" width="12.7109375" bestFit="1" customWidth="1"/>
    <col min="13807" max="13807" width="2.7109375" customWidth="1"/>
    <col min="13808" max="13808" width="12.7109375" bestFit="1" customWidth="1"/>
    <col min="13809" max="13809" width="2.7109375" customWidth="1"/>
    <col min="13811" max="13811" width="12.5703125" bestFit="1" customWidth="1"/>
    <col min="14061" max="14061" width="56.42578125" bestFit="1" customWidth="1"/>
    <col min="14062" max="14062" width="12.7109375" bestFit="1" customWidth="1"/>
    <col min="14063" max="14063" width="2.7109375" customWidth="1"/>
    <col min="14064" max="14064" width="12.7109375" bestFit="1" customWidth="1"/>
    <col min="14065" max="14065" width="2.7109375" customWidth="1"/>
    <col min="14067" max="14067" width="12.5703125" bestFit="1" customWidth="1"/>
    <col min="14317" max="14317" width="56.42578125" bestFit="1" customWidth="1"/>
    <col min="14318" max="14318" width="12.7109375" bestFit="1" customWidth="1"/>
    <col min="14319" max="14319" width="2.7109375" customWidth="1"/>
    <col min="14320" max="14320" width="12.7109375" bestFit="1" customWidth="1"/>
    <col min="14321" max="14321" width="2.7109375" customWidth="1"/>
    <col min="14323" max="14323" width="12.5703125" bestFit="1" customWidth="1"/>
    <col min="14573" max="14573" width="56.42578125" bestFit="1" customWidth="1"/>
    <col min="14574" max="14574" width="12.7109375" bestFit="1" customWidth="1"/>
    <col min="14575" max="14575" width="2.7109375" customWidth="1"/>
    <col min="14576" max="14576" width="12.7109375" bestFit="1" customWidth="1"/>
    <col min="14577" max="14577" width="2.7109375" customWidth="1"/>
    <col min="14579" max="14579" width="12.5703125" bestFit="1" customWidth="1"/>
    <col min="14829" max="14829" width="56.42578125" bestFit="1" customWidth="1"/>
    <col min="14830" max="14830" width="12.7109375" bestFit="1" customWidth="1"/>
    <col min="14831" max="14831" width="2.7109375" customWidth="1"/>
    <col min="14832" max="14832" width="12.7109375" bestFit="1" customWidth="1"/>
    <col min="14833" max="14833" width="2.7109375" customWidth="1"/>
    <col min="14835" max="14835" width="12.5703125" bestFit="1" customWidth="1"/>
    <col min="15085" max="15085" width="56.42578125" bestFit="1" customWidth="1"/>
    <col min="15086" max="15086" width="12.7109375" bestFit="1" customWidth="1"/>
    <col min="15087" max="15087" width="2.7109375" customWidth="1"/>
    <col min="15088" max="15088" width="12.7109375" bestFit="1" customWidth="1"/>
    <col min="15089" max="15089" width="2.7109375" customWidth="1"/>
    <col min="15091" max="15091" width="12.5703125" bestFit="1" customWidth="1"/>
    <col min="15341" max="15341" width="56.42578125" bestFit="1" customWidth="1"/>
    <col min="15342" max="15342" width="12.7109375" bestFit="1" customWidth="1"/>
    <col min="15343" max="15343" width="2.7109375" customWidth="1"/>
    <col min="15344" max="15344" width="12.7109375" bestFit="1" customWidth="1"/>
    <col min="15345" max="15345" width="2.7109375" customWidth="1"/>
    <col min="15347" max="15347" width="12.5703125" bestFit="1" customWidth="1"/>
    <col min="15597" max="15597" width="56.42578125" bestFit="1" customWidth="1"/>
    <col min="15598" max="15598" width="12.7109375" bestFit="1" customWidth="1"/>
    <col min="15599" max="15599" width="2.7109375" customWidth="1"/>
    <col min="15600" max="15600" width="12.7109375" bestFit="1" customWidth="1"/>
    <col min="15601" max="15601" width="2.7109375" customWidth="1"/>
    <col min="15603" max="15603" width="12.5703125" bestFit="1" customWidth="1"/>
    <col min="15853" max="15853" width="56.42578125" bestFit="1" customWidth="1"/>
    <col min="15854" max="15854" width="12.7109375" bestFit="1" customWidth="1"/>
    <col min="15855" max="15855" width="2.7109375" customWidth="1"/>
    <col min="15856" max="15856" width="12.7109375" bestFit="1" customWidth="1"/>
    <col min="15857" max="15857" width="2.7109375" customWidth="1"/>
    <col min="15859" max="15859" width="12.5703125" bestFit="1" customWidth="1"/>
    <col min="16109" max="16109" width="56.42578125" bestFit="1" customWidth="1"/>
    <col min="16110" max="16110" width="12.7109375" bestFit="1" customWidth="1"/>
    <col min="16111" max="16111" width="2.7109375" customWidth="1"/>
    <col min="16112" max="16112" width="12.7109375" bestFit="1" customWidth="1"/>
    <col min="16113" max="16113" width="2.7109375" customWidth="1"/>
    <col min="16115" max="16115" width="12.5703125" bestFit="1" customWidth="1"/>
  </cols>
  <sheetData>
    <row r="1" spans="1:17" ht="14.25" x14ac:dyDescent="0.2">
      <c r="A1" s="395" t="s">
        <v>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</row>
    <row r="2" spans="1:17" ht="14.25" x14ac:dyDescent="0.2">
      <c r="A2" s="395" t="s">
        <v>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</row>
    <row r="3" spans="1:17" ht="15" x14ac:dyDescent="0.25">
      <c r="A3" s="1"/>
      <c r="B3" s="1"/>
      <c r="C3" s="1"/>
      <c r="D3" s="2"/>
      <c r="G3" s="1"/>
      <c r="M3" s="1"/>
    </row>
    <row r="4" spans="1:17" ht="14.25" x14ac:dyDescent="0.2">
      <c r="A4" s="395" t="s">
        <v>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</row>
    <row r="5" spans="1:17" ht="15" x14ac:dyDescent="0.25">
      <c r="A5" s="364"/>
      <c r="B5" s="364"/>
      <c r="C5" s="364"/>
      <c r="D5" s="338"/>
      <c r="E5" s="106"/>
      <c r="F5" s="106"/>
      <c r="G5" s="364"/>
      <c r="H5" s="106"/>
      <c r="I5" s="106"/>
      <c r="J5" s="106"/>
      <c r="K5" s="106"/>
      <c r="L5" s="106"/>
      <c r="M5" s="364"/>
      <c r="N5" s="106"/>
      <c r="O5" s="106"/>
      <c r="P5" s="106"/>
      <c r="Q5" s="106"/>
    </row>
    <row r="6" spans="1:17" ht="15" x14ac:dyDescent="0.25">
      <c r="A6" s="392" t="s">
        <v>1797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</row>
    <row r="7" spans="1:17" ht="15" x14ac:dyDescent="0.25">
      <c r="A7" s="392" t="s">
        <v>2105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</row>
    <row r="8" spans="1:17" ht="15" x14ac:dyDescent="0.25">
      <c r="A8" s="392" t="s">
        <v>1713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</row>
    <row r="9" spans="1:17" ht="15" x14ac:dyDescent="0.25">
      <c r="A9" s="140"/>
      <c r="B9" s="140"/>
      <c r="C9" s="140"/>
      <c r="D9" s="140"/>
      <c r="E9" s="106"/>
      <c r="F9" s="106"/>
      <c r="G9" s="140"/>
      <c r="H9" s="106"/>
      <c r="I9" s="106"/>
      <c r="J9" s="106"/>
      <c r="K9" s="106"/>
      <c r="L9" s="106"/>
      <c r="M9" s="140"/>
      <c r="N9" s="106"/>
      <c r="O9" s="106"/>
      <c r="P9" s="106"/>
      <c r="Q9" s="106"/>
    </row>
    <row r="10" spans="1:17" ht="15" x14ac:dyDescent="0.25">
      <c r="A10" s="140"/>
      <c r="B10" s="140"/>
      <c r="C10" s="140"/>
      <c r="D10" s="140"/>
      <c r="E10" s="106"/>
      <c r="F10" s="106"/>
      <c r="G10" s="351"/>
      <c r="H10" s="365"/>
      <c r="I10" s="365"/>
      <c r="J10" s="365"/>
      <c r="K10" s="365"/>
      <c r="L10" s="365"/>
      <c r="M10" s="353"/>
      <c r="N10" s="106"/>
      <c r="O10" s="106"/>
      <c r="P10" s="106"/>
      <c r="Q10" s="106"/>
    </row>
    <row r="11" spans="1:17" ht="15" x14ac:dyDescent="0.25">
      <c r="A11" s="140"/>
      <c r="B11" s="140"/>
      <c r="C11" s="105" t="s">
        <v>4</v>
      </c>
      <c r="D11" s="105"/>
      <c r="E11" s="106"/>
      <c r="F11" s="106"/>
      <c r="G11" s="105" t="s">
        <v>4</v>
      </c>
      <c r="H11" s="106"/>
      <c r="I11" s="106"/>
      <c r="J11" s="106"/>
      <c r="K11" s="106"/>
      <c r="L11" s="106"/>
      <c r="M11" s="105" t="s">
        <v>4</v>
      </c>
      <c r="N11" s="106"/>
      <c r="O11" s="105" t="s">
        <v>4</v>
      </c>
      <c r="P11" s="106"/>
      <c r="Q11" s="105" t="s">
        <v>4</v>
      </c>
    </row>
    <row r="12" spans="1:17" ht="15" x14ac:dyDescent="0.25">
      <c r="A12" s="338"/>
      <c r="B12" s="338"/>
      <c r="C12" s="107">
        <v>43466</v>
      </c>
      <c r="D12" s="107"/>
      <c r="E12" s="106"/>
      <c r="F12" s="106"/>
      <c r="G12" s="107">
        <v>43831</v>
      </c>
      <c r="H12" s="106"/>
      <c r="I12" s="106"/>
      <c r="J12" s="106"/>
      <c r="K12" s="106"/>
      <c r="L12" s="106"/>
      <c r="M12" s="107" t="s">
        <v>1801</v>
      </c>
      <c r="N12" s="106"/>
      <c r="O12" s="107" t="s">
        <v>1939</v>
      </c>
      <c r="P12" s="106"/>
      <c r="Q12" s="107" t="s">
        <v>2093</v>
      </c>
    </row>
    <row r="13" spans="1:17" ht="15" x14ac:dyDescent="0.25">
      <c r="A13" s="338"/>
      <c r="B13" s="338"/>
      <c r="C13" s="105" t="s">
        <v>5</v>
      </c>
      <c r="D13" s="105"/>
      <c r="E13" s="106"/>
      <c r="F13" s="106"/>
      <c r="G13" s="105" t="s">
        <v>5</v>
      </c>
      <c r="H13" s="106"/>
      <c r="I13" s="106"/>
      <c r="J13" s="106"/>
      <c r="K13" s="106"/>
      <c r="L13" s="106"/>
      <c r="M13" s="105" t="s">
        <v>5</v>
      </c>
      <c r="N13" s="106"/>
      <c r="O13" s="105" t="s">
        <v>5</v>
      </c>
      <c r="P13" s="106"/>
      <c r="Q13" s="105" t="s">
        <v>5</v>
      </c>
    </row>
    <row r="14" spans="1:17" ht="15" x14ac:dyDescent="0.25">
      <c r="A14" s="338"/>
      <c r="B14" s="338"/>
      <c r="C14" s="108">
        <v>43555</v>
      </c>
      <c r="D14" s="108"/>
      <c r="E14" s="106"/>
      <c r="F14" s="106"/>
      <c r="G14" s="108">
        <v>44104</v>
      </c>
      <c r="H14" s="106"/>
      <c r="I14" s="106"/>
      <c r="J14" s="106"/>
      <c r="K14" s="106"/>
      <c r="L14" s="106"/>
      <c r="M14" s="108" t="s">
        <v>1906</v>
      </c>
      <c r="N14" s="106"/>
      <c r="O14" s="108" t="s">
        <v>1938</v>
      </c>
      <c r="P14" s="106"/>
      <c r="Q14" s="108" t="s">
        <v>2094</v>
      </c>
    </row>
    <row r="15" spans="1:17" ht="15" x14ac:dyDescent="0.25">
      <c r="A15" s="338"/>
      <c r="B15" s="338"/>
      <c r="C15" s="338"/>
      <c r="D15" s="338"/>
      <c r="E15" s="106"/>
      <c r="F15" s="106"/>
      <c r="G15" s="338"/>
      <c r="H15" s="106"/>
      <c r="I15" s="106"/>
      <c r="J15" s="106"/>
      <c r="K15" s="106"/>
      <c r="L15" s="106"/>
      <c r="M15" s="139"/>
      <c r="N15" s="106"/>
      <c r="O15" s="338"/>
      <c r="P15" s="106"/>
      <c r="Q15" s="338"/>
    </row>
    <row r="16" spans="1:17" ht="15" x14ac:dyDescent="0.25">
      <c r="A16" s="149" t="s">
        <v>6</v>
      </c>
      <c r="B16" s="149"/>
      <c r="C16" s="142">
        <f>C18+C20+C29+C39+C46</f>
        <v>-1269.5785100000103</v>
      </c>
      <c r="D16" s="142"/>
      <c r="E16" s="106"/>
      <c r="F16" s="106"/>
      <c r="G16" s="142">
        <f>G18+G20+G29+G39+G46</f>
        <v>17955.599879999994</v>
      </c>
      <c r="H16" s="106"/>
      <c r="I16" s="106"/>
      <c r="J16" s="106"/>
      <c r="K16" s="106"/>
      <c r="L16" s="106"/>
      <c r="M16" s="142">
        <f>M18+M20+M29+M39+M46</f>
        <v>-5465.966739999998</v>
      </c>
      <c r="N16" s="106"/>
      <c r="O16" s="142">
        <f>O18+O20+O29+O39+O46</f>
        <v>5072.5392099999972</v>
      </c>
      <c r="P16" s="106"/>
      <c r="Q16" s="142">
        <f>Q18+Q20+Q29+Q39+Q46</f>
        <v>157.461050000005</v>
      </c>
    </row>
    <row r="17" spans="1:19" ht="15" x14ac:dyDescent="0.25">
      <c r="A17" s="140"/>
      <c r="B17" s="140"/>
      <c r="C17" s="140"/>
      <c r="D17" s="140"/>
      <c r="E17" s="106"/>
      <c r="F17" s="106"/>
      <c r="G17" s="140"/>
      <c r="H17" s="106"/>
      <c r="I17" s="106"/>
      <c r="J17" s="106"/>
      <c r="K17" s="106"/>
      <c r="L17" s="106"/>
      <c r="M17" s="140"/>
      <c r="N17" s="106"/>
      <c r="O17" s="140"/>
      <c r="P17" s="106"/>
      <c r="Q17" s="140"/>
      <c r="S17" s="317"/>
    </row>
    <row r="18" spans="1:19" ht="15" x14ac:dyDescent="0.25">
      <c r="A18" s="140" t="s">
        <v>7</v>
      </c>
      <c r="B18" s="140"/>
      <c r="C18" s="10">
        <v>-4991.6477400000003</v>
      </c>
      <c r="D18" s="141"/>
      <c r="E18" s="106"/>
      <c r="F18" s="106"/>
      <c r="G18" s="10">
        <f>-7788.06293+1435.06913+108.59987</f>
        <v>-6244.3939300000002</v>
      </c>
      <c r="H18" s="106"/>
      <c r="I18" s="106"/>
      <c r="J18" s="106"/>
      <c r="K18" s="106"/>
      <c r="L18" s="106"/>
      <c r="M18" s="17">
        <v>-24788.44859</v>
      </c>
      <c r="N18" s="106"/>
      <c r="O18" s="10">
        <f>-1796.54946</f>
        <v>-1796.54946</v>
      </c>
      <c r="P18" s="106"/>
      <c r="Q18" s="10">
        <v>-8493.289859999999</v>
      </c>
      <c r="S18" s="317"/>
    </row>
    <row r="19" spans="1:19" ht="15" x14ac:dyDescent="0.25">
      <c r="A19" s="140"/>
      <c r="B19" s="140"/>
      <c r="C19" s="140"/>
      <c r="D19" s="140"/>
      <c r="E19" s="106"/>
      <c r="F19" s="106"/>
      <c r="G19" s="140"/>
      <c r="H19" s="106"/>
      <c r="I19" s="106"/>
      <c r="J19" s="106"/>
      <c r="K19" s="106"/>
      <c r="L19" s="106"/>
      <c r="M19" s="140"/>
      <c r="N19" s="106"/>
      <c r="O19" s="140"/>
      <c r="P19" s="106"/>
      <c r="Q19" s="140"/>
      <c r="S19" s="317"/>
    </row>
    <row r="20" spans="1:19" ht="15" x14ac:dyDescent="0.25">
      <c r="A20" s="140" t="s">
        <v>8</v>
      </c>
      <c r="B20" s="140"/>
      <c r="C20" s="142">
        <f>SUM(C21:C26)</f>
        <v>3606.5750700000003</v>
      </c>
      <c r="D20" s="142"/>
      <c r="E20" s="106"/>
      <c r="F20" s="106"/>
      <c r="G20" s="142">
        <f>SUM(G21:G26)</f>
        <v>-24653.96544</v>
      </c>
      <c r="H20" s="106"/>
      <c r="I20" s="106"/>
      <c r="J20" s="106"/>
      <c r="K20" s="106"/>
      <c r="L20" s="106"/>
      <c r="M20" s="142">
        <f>SUM(M21:M26)</f>
        <v>17048.188150000002</v>
      </c>
      <c r="N20" s="106"/>
      <c r="O20" s="142">
        <f>SUM(O21:O26)</f>
        <v>5081.4928100000006</v>
      </c>
      <c r="P20" s="106"/>
      <c r="Q20" s="142">
        <f>SUM(Q21:Q26)</f>
        <v>6975.7995000000001</v>
      </c>
      <c r="S20" s="317"/>
    </row>
    <row r="21" spans="1:19" ht="15" x14ac:dyDescent="0.25">
      <c r="A21" s="140" t="s">
        <v>9</v>
      </c>
      <c r="B21" s="140"/>
      <c r="C21" s="10">
        <v>3794.0384800000002</v>
      </c>
      <c r="D21" s="141"/>
      <c r="E21" s="106"/>
      <c r="F21" s="106"/>
      <c r="G21" s="141">
        <v>11973.506670000002</v>
      </c>
      <c r="H21" s="106"/>
      <c r="I21" s="106"/>
      <c r="J21" s="106"/>
      <c r="K21" s="106"/>
      <c r="L21" s="106"/>
      <c r="M21" s="17">
        <v>11945.756149999999</v>
      </c>
      <c r="N21" s="106"/>
      <c r="O21" s="141">
        <v>3976.1275500000006</v>
      </c>
      <c r="P21" s="106"/>
      <c r="Q21" s="141">
        <v>4229.1807799999997</v>
      </c>
      <c r="S21" s="317"/>
    </row>
    <row r="22" spans="1:19" ht="15" x14ac:dyDescent="0.25">
      <c r="A22" s="140" t="s">
        <v>10</v>
      </c>
      <c r="B22" s="140"/>
      <c r="C22" s="10">
        <v>-187.46341000000001</v>
      </c>
      <c r="D22" s="143"/>
      <c r="E22" s="144"/>
      <c r="F22" s="144"/>
      <c r="G22" s="10">
        <v>-519.06510000000003</v>
      </c>
      <c r="H22" s="106"/>
      <c r="I22" s="106"/>
      <c r="J22" s="106"/>
      <c r="K22" s="106"/>
      <c r="L22" s="106"/>
      <c r="M22" s="17">
        <v>-608.13475000000005</v>
      </c>
      <c r="N22" s="106"/>
      <c r="O22" s="10">
        <f>(73688.99-147475.73)/1000</f>
        <v>-73.786740000000009</v>
      </c>
      <c r="P22" s="106"/>
      <c r="Q22" s="10">
        <v>-222.89605</v>
      </c>
      <c r="S22" s="317"/>
    </row>
    <row r="23" spans="1:19" ht="15" x14ac:dyDescent="0.25">
      <c r="A23" s="145" t="s">
        <v>11</v>
      </c>
      <c r="B23" s="145"/>
      <c r="C23" s="10">
        <v>0</v>
      </c>
      <c r="D23" s="143"/>
      <c r="E23" s="106"/>
      <c r="F23" s="106"/>
      <c r="G23" s="10">
        <v>-36108.407010000003</v>
      </c>
      <c r="H23" s="106"/>
      <c r="I23" s="106"/>
      <c r="J23" s="106"/>
      <c r="K23" s="106"/>
      <c r="L23" s="106"/>
      <c r="M23" s="167">
        <v>185.93733000000009</v>
      </c>
      <c r="N23" s="106"/>
      <c r="O23" s="10">
        <v>1179.152</v>
      </c>
      <c r="P23" s="106"/>
      <c r="Q23" s="10">
        <v>185.93733000000009</v>
      </c>
      <c r="S23" s="317"/>
    </row>
    <row r="24" spans="1:19" ht="15" x14ac:dyDescent="0.25">
      <c r="A24" s="140" t="s">
        <v>12</v>
      </c>
      <c r="B24" s="140"/>
      <c r="C24" s="10"/>
      <c r="D24" s="141"/>
      <c r="E24" s="106"/>
      <c r="F24" s="106"/>
      <c r="G24" s="10">
        <v>0</v>
      </c>
      <c r="H24" s="106"/>
      <c r="I24" s="106"/>
      <c r="J24" s="106"/>
      <c r="K24" s="106"/>
      <c r="L24" s="106"/>
      <c r="M24" s="167">
        <v>2783.57744</v>
      </c>
      <c r="N24" s="106"/>
      <c r="O24" s="10">
        <v>0</v>
      </c>
      <c r="P24" s="106"/>
      <c r="Q24" s="10">
        <v>2783.57744</v>
      </c>
      <c r="S24" s="317"/>
    </row>
    <row r="25" spans="1:19" ht="15" hidden="1" x14ac:dyDescent="0.25">
      <c r="A25" s="145" t="s">
        <v>13</v>
      </c>
      <c r="B25" s="145"/>
      <c r="C25" s="10"/>
      <c r="D25" s="143"/>
      <c r="E25" s="106"/>
      <c r="F25" s="106"/>
      <c r="G25" s="10">
        <v>0</v>
      </c>
      <c r="H25" s="106"/>
      <c r="I25" s="106"/>
      <c r="J25" s="106"/>
      <c r="K25" s="106"/>
      <c r="L25" s="106"/>
      <c r="M25" s="10">
        <v>0</v>
      </c>
      <c r="N25" s="106"/>
      <c r="O25" s="10">
        <v>0</v>
      </c>
      <c r="P25" s="106"/>
      <c r="Q25" s="10">
        <v>0</v>
      </c>
      <c r="S25" s="317"/>
    </row>
    <row r="26" spans="1:19" ht="15" x14ac:dyDescent="0.25">
      <c r="A26" s="145" t="s">
        <v>14</v>
      </c>
      <c r="B26" s="145"/>
      <c r="C26" s="10"/>
      <c r="D26" s="141"/>
      <c r="E26" s="106"/>
      <c r="F26" s="106"/>
      <c r="G26" s="10">
        <v>0</v>
      </c>
      <c r="H26" s="106"/>
      <c r="I26" s="106"/>
      <c r="J26" s="106"/>
      <c r="K26" s="106"/>
      <c r="L26" s="106"/>
      <c r="M26" s="10">
        <v>2741.0519800000002</v>
      </c>
      <c r="N26" s="106"/>
      <c r="O26" s="10">
        <v>0</v>
      </c>
      <c r="P26" s="106"/>
      <c r="Q26" s="10">
        <v>0</v>
      </c>
      <c r="S26" s="317"/>
    </row>
    <row r="27" spans="1:19" ht="15" x14ac:dyDescent="0.25">
      <c r="A27" s="140"/>
      <c r="B27" s="140"/>
      <c r="C27" s="140"/>
      <c r="D27" s="140"/>
      <c r="E27" s="106"/>
      <c r="F27" s="106"/>
      <c r="G27" s="140"/>
      <c r="H27" s="106"/>
      <c r="I27" s="106"/>
      <c r="J27" s="106"/>
      <c r="K27" s="106"/>
      <c r="L27" s="106"/>
      <c r="M27" s="140"/>
      <c r="N27" s="106"/>
      <c r="O27" s="140"/>
      <c r="P27" s="106"/>
      <c r="Q27" s="140"/>
      <c r="S27" s="317"/>
    </row>
    <row r="28" spans="1:19" ht="15" x14ac:dyDescent="0.25">
      <c r="A28" s="140"/>
      <c r="B28" s="140"/>
      <c r="C28" s="140"/>
      <c r="D28" s="140"/>
      <c r="E28" s="106"/>
      <c r="F28" s="106"/>
      <c r="G28" s="140"/>
      <c r="H28" s="106"/>
      <c r="I28" s="106"/>
      <c r="J28" s="106"/>
      <c r="K28" s="106"/>
      <c r="L28" s="106"/>
      <c r="M28" s="140"/>
      <c r="N28" s="106"/>
      <c r="O28" s="140"/>
      <c r="P28" s="106"/>
      <c r="Q28" s="140"/>
      <c r="S28" s="317"/>
    </row>
    <row r="29" spans="1:19" ht="15" x14ac:dyDescent="0.25">
      <c r="A29" s="140" t="s">
        <v>15</v>
      </c>
      <c r="B29" s="140"/>
      <c r="C29" s="146">
        <f>SUM(C30:C37)</f>
        <v>914.52315999999018</v>
      </c>
      <c r="D29" s="147"/>
      <c r="E29" s="106"/>
      <c r="F29" s="106"/>
      <c r="G29" s="146">
        <f>SUM(G30:G37)</f>
        <v>-1449.8824200000001</v>
      </c>
      <c r="H29" s="106"/>
      <c r="I29" s="106"/>
      <c r="J29" s="106"/>
      <c r="K29" s="106"/>
      <c r="L29" s="106"/>
      <c r="M29" s="146">
        <f>SUM(M30:M37)</f>
        <v>1895.1066099999998</v>
      </c>
      <c r="N29" s="106"/>
      <c r="O29" s="146">
        <f>SUM(O30:O37)</f>
        <v>-676.97354000000018</v>
      </c>
      <c r="P29" s="106"/>
      <c r="Q29" s="146">
        <f>SUM(Q30:Q37)</f>
        <v>1347.4292500000004</v>
      </c>
      <c r="S29" s="317"/>
    </row>
    <row r="30" spans="1:19" ht="15" x14ac:dyDescent="0.25">
      <c r="A30" s="140" t="s">
        <v>16</v>
      </c>
      <c r="B30" s="140"/>
      <c r="C30" s="10">
        <v>1202.5902099999898</v>
      </c>
      <c r="D30" s="10"/>
      <c r="E30" s="106"/>
      <c r="F30" s="106"/>
      <c r="G30" s="10">
        <v>-134.68353000000027</v>
      </c>
      <c r="H30" s="106"/>
      <c r="I30" s="106"/>
      <c r="J30" s="106"/>
      <c r="K30" s="106"/>
      <c r="L30" s="106"/>
      <c r="M30" s="167">
        <v>1583.4348799999998</v>
      </c>
      <c r="N30" s="106"/>
      <c r="O30" s="10">
        <f>-'Página1 (2)'!L18</f>
        <v>-226.76378000000025</v>
      </c>
      <c r="P30" s="106"/>
      <c r="Q30" s="10">
        <v>358.45951000000025</v>
      </c>
      <c r="S30" s="317"/>
    </row>
    <row r="31" spans="1:19" ht="15" x14ac:dyDescent="0.25">
      <c r="A31" s="140" t="s">
        <v>17</v>
      </c>
      <c r="B31" s="140"/>
      <c r="C31" s="10">
        <v>10.448360000000008</v>
      </c>
      <c r="D31" s="10"/>
      <c r="E31" s="106"/>
      <c r="F31" s="106"/>
      <c r="G31" s="10">
        <v>22.94764</v>
      </c>
      <c r="H31" s="106"/>
      <c r="I31" s="106"/>
      <c r="J31" s="106"/>
      <c r="K31" s="106"/>
      <c r="L31" s="106"/>
      <c r="M31" s="167">
        <v>4.0665599999999973</v>
      </c>
      <c r="N31" s="106"/>
      <c r="O31" s="10">
        <f>-'Página1 (2)'!L23</f>
        <v>-36.428800000000003</v>
      </c>
      <c r="P31" s="106"/>
      <c r="Q31" s="10">
        <v>-26.235620000000004</v>
      </c>
      <c r="S31" s="317"/>
    </row>
    <row r="32" spans="1:19" ht="15" x14ac:dyDescent="0.25">
      <c r="A32" s="140" t="s">
        <v>18</v>
      </c>
      <c r="B32" s="140"/>
      <c r="C32" s="10">
        <v>-101.26374999999996</v>
      </c>
      <c r="D32" s="10"/>
      <c r="E32" s="106"/>
      <c r="F32" s="106"/>
      <c r="G32" s="10">
        <v>-427.20981000000006</v>
      </c>
      <c r="H32" s="106"/>
      <c r="I32" s="106"/>
      <c r="J32" s="106"/>
      <c r="K32" s="106"/>
      <c r="L32" s="106"/>
      <c r="M32" s="167">
        <v>3.2968100000000558</v>
      </c>
      <c r="N32" s="106"/>
      <c r="O32" s="10">
        <f>-'Página1 (2)'!L28</f>
        <v>-29.493770000000019</v>
      </c>
      <c r="P32" s="106"/>
      <c r="Q32" s="10">
        <v>-6.8939499999999532</v>
      </c>
      <c r="S32" s="317"/>
    </row>
    <row r="33" spans="1:19" ht="15" x14ac:dyDescent="0.25">
      <c r="A33" s="140" t="s">
        <v>19</v>
      </c>
      <c r="B33" s="140"/>
      <c r="C33" s="10">
        <v>0</v>
      </c>
      <c r="D33" s="10"/>
      <c r="E33" s="106"/>
      <c r="F33" s="106"/>
      <c r="G33" s="10">
        <v>-36.236239999999988</v>
      </c>
      <c r="H33" s="106"/>
      <c r="I33" s="106"/>
      <c r="J33" s="106"/>
      <c r="K33" s="106"/>
      <c r="L33" s="106"/>
      <c r="M33" s="167">
        <v>-81.476070000000007</v>
      </c>
      <c r="N33" s="106"/>
      <c r="O33" s="10">
        <f>-'Página1 (2)'!L27</f>
        <v>0</v>
      </c>
      <c r="P33" s="106"/>
      <c r="Q33" s="10">
        <v>234.26441999999997</v>
      </c>
      <c r="S33" s="317"/>
    </row>
    <row r="34" spans="1:19" ht="15" x14ac:dyDescent="0.25">
      <c r="A34" s="140" t="s">
        <v>20</v>
      </c>
      <c r="B34" s="140"/>
      <c r="C34" s="10">
        <v>-278.10560999999984</v>
      </c>
      <c r="D34" s="10"/>
      <c r="E34" s="106"/>
      <c r="F34" s="106"/>
      <c r="G34" s="10">
        <v>-971.80145999999991</v>
      </c>
      <c r="H34" s="148"/>
      <c r="I34" s="106"/>
      <c r="J34" s="106"/>
      <c r="K34" s="106"/>
      <c r="L34" s="106"/>
      <c r="M34" s="167">
        <v>205.06343999999996</v>
      </c>
      <c r="N34" s="106"/>
      <c r="O34" s="10">
        <f>-'Página1 (2)'!L30</f>
        <v>-480.40118999999993</v>
      </c>
      <c r="P34" s="106"/>
      <c r="Q34" s="10">
        <v>711.69162999999992</v>
      </c>
      <c r="S34" s="317"/>
    </row>
    <row r="35" spans="1:19" ht="15" x14ac:dyDescent="0.25">
      <c r="A35" s="140" t="s">
        <v>21</v>
      </c>
      <c r="B35" s="140"/>
      <c r="C35" s="10">
        <v>23.639269999999996</v>
      </c>
      <c r="D35" s="10"/>
      <c r="E35" s="106"/>
      <c r="F35" s="106"/>
      <c r="G35" s="10">
        <v>7.7821900000000026</v>
      </c>
      <c r="H35" s="106"/>
      <c r="I35" s="106"/>
      <c r="J35" s="106"/>
      <c r="K35" s="106"/>
      <c r="L35" s="106"/>
      <c r="M35" s="167">
        <v>42.793039999999998</v>
      </c>
      <c r="N35" s="106"/>
      <c r="O35" s="10">
        <f>-'Página1 (2)'!L36</f>
        <v>6.5417399999999981</v>
      </c>
      <c r="P35" s="106"/>
      <c r="Q35" s="10">
        <v>8.1490900000000046</v>
      </c>
      <c r="S35" s="317"/>
    </row>
    <row r="36" spans="1:19" ht="15" x14ac:dyDescent="0.25">
      <c r="A36" s="140" t="s">
        <v>22</v>
      </c>
      <c r="B36" s="140"/>
      <c r="C36" s="10">
        <v>72.657209999999992</v>
      </c>
      <c r="D36" s="10"/>
      <c r="E36" s="106"/>
      <c r="F36" s="106"/>
      <c r="G36" s="10">
        <v>89.318790000000007</v>
      </c>
      <c r="H36" s="106"/>
      <c r="I36" s="106"/>
      <c r="J36" s="106"/>
      <c r="K36" s="106"/>
      <c r="L36" s="106"/>
      <c r="M36" s="167">
        <v>160.56395999999998</v>
      </c>
      <c r="N36" s="106"/>
      <c r="O36" s="10">
        <f>-'Página1 (2)'!L40</f>
        <v>89.572260000000014</v>
      </c>
      <c r="P36" s="106"/>
      <c r="Q36" s="10">
        <v>27.439149999999994</v>
      </c>
      <c r="S36" s="317"/>
    </row>
    <row r="37" spans="1:19" ht="15" x14ac:dyDescent="0.25">
      <c r="A37" s="140" t="s">
        <v>23</v>
      </c>
      <c r="B37" s="140"/>
      <c r="C37" s="10">
        <f>-(-386.33985+401.78238)</f>
        <v>-15.442529999999977</v>
      </c>
      <c r="D37" s="10"/>
      <c r="E37" s="106"/>
      <c r="F37" s="106"/>
      <c r="G37" s="10">
        <f>-'ACUMULADO 2020'!K41</f>
        <v>0</v>
      </c>
      <c r="H37" s="106"/>
      <c r="I37" s="106"/>
      <c r="J37" s="106"/>
      <c r="K37" s="106"/>
      <c r="L37" s="106"/>
      <c r="M37" s="167">
        <v>-22.63601000000001</v>
      </c>
      <c r="N37" s="106"/>
      <c r="O37" s="10">
        <f>-'Página1 (2)'!L21</f>
        <v>0</v>
      </c>
      <c r="P37" s="106"/>
      <c r="Q37" s="10">
        <v>40.55502000000002</v>
      </c>
      <c r="S37" s="317"/>
    </row>
    <row r="38" spans="1:19" ht="15" x14ac:dyDescent="0.25">
      <c r="A38" s="140"/>
      <c r="B38" s="140"/>
      <c r="C38" s="140"/>
      <c r="D38" s="140"/>
      <c r="E38" s="106"/>
      <c r="F38" s="106"/>
      <c r="G38" s="140"/>
      <c r="H38" s="106"/>
      <c r="I38" s="106"/>
      <c r="J38" s="106"/>
      <c r="K38" s="106"/>
      <c r="L38" s="106"/>
      <c r="M38" s="140"/>
      <c r="N38" s="106"/>
      <c r="O38" s="140"/>
      <c r="P38" s="106"/>
      <c r="Q38" s="140"/>
      <c r="S38" s="317"/>
    </row>
    <row r="39" spans="1:19" ht="15" x14ac:dyDescent="0.25">
      <c r="A39" s="140" t="s">
        <v>24</v>
      </c>
      <c r="B39" s="140"/>
      <c r="C39" s="142">
        <f>SUM(C40:C43)</f>
        <v>617.60626999999999</v>
      </c>
      <c r="D39" s="142"/>
      <c r="E39" s="106"/>
      <c r="F39" s="106"/>
      <c r="G39" s="142">
        <f>SUM(G40:G44)</f>
        <v>47141.077939999996</v>
      </c>
      <c r="H39" s="106"/>
      <c r="I39" s="106"/>
      <c r="J39" s="106"/>
      <c r="K39" s="106"/>
      <c r="L39" s="106"/>
      <c r="M39" s="142">
        <f>SUM(M40:M44)</f>
        <v>2105.5928500000009</v>
      </c>
      <c r="N39" s="106"/>
      <c r="O39" s="142">
        <f>SUM(O40:O44)</f>
        <v>4327.6246299999966</v>
      </c>
      <c r="P39" s="106"/>
      <c r="Q39" s="142">
        <f>SUM(Q40:Q44)</f>
        <v>643.38255000000333</v>
      </c>
      <c r="S39" s="317"/>
    </row>
    <row r="40" spans="1:19" ht="15" x14ac:dyDescent="0.25">
      <c r="A40" s="140" t="s">
        <v>25</v>
      </c>
      <c r="B40" s="140"/>
      <c r="C40" s="10">
        <v>-44.324160000000006</v>
      </c>
      <c r="D40" s="10"/>
      <c r="E40" s="106"/>
      <c r="F40" s="106"/>
      <c r="G40" s="10">
        <v>-127.96325</v>
      </c>
      <c r="H40" s="106"/>
      <c r="I40" s="106"/>
      <c r="J40" s="106"/>
      <c r="K40" s="106"/>
      <c r="L40" s="106"/>
      <c r="M40" s="17">
        <f>-(636315.23-739127.8)/1000</f>
        <v>102.81257000000006</v>
      </c>
      <c r="N40" s="106"/>
      <c r="O40" s="10">
        <f>-'Página1 (2)'!L47</f>
        <v>-77.579390000000018</v>
      </c>
      <c r="P40" s="106"/>
      <c r="Q40" s="10">
        <v>-39.201280000000025</v>
      </c>
      <c r="S40" s="317"/>
    </row>
    <row r="41" spans="1:19" ht="15" x14ac:dyDescent="0.25">
      <c r="A41" s="140" t="s">
        <v>26</v>
      </c>
      <c r="B41" s="140"/>
      <c r="C41" s="10">
        <v>2.9150200000000126</v>
      </c>
      <c r="D41" s="10"/>
      <c r="E41" s="106"/>
      <c r="F41" s="106"/>
      <c r="G41" s="10">
        <v>0</v>
      </c>
      <c r="H41" s="106"/>
      <c r="I41" s="106"/>
      <c r="J41" s="106"/>
      <c r="K41" s="106"/>
      <c r="L41" s="106"/>
      <c r="M41" s="17">
        <f>-(73387.47-78246.17)/1000</f>
        <v>4.8586999999999971</v>
      </c>
      <c r="N41" s="106"/>
      <c r="O41" s="10">
        <v>0</v>
      </c>
      <c r="P41" s="106"/>
      <c r="Q41" s="10">
        <v>0</v>
      </c>
      <c r="S41" s="317"/>
    </row>
    <row r="42" spans="1:19" ht="15" x14ac:dyDescent="0.25">
      <c r="A42" s="140" t="s">
        <v>27</v>
      </c>
      <c r="B42" s="140"/>
      <c r="C42" s="10">
        <v>-112.34821999999986</v>
      </c>
      <c r="D42" s="10"/>
      <c r="E42" s="106"/>
      <c r="F42" s="106"/>
      <c r="G42" s="10">
        <v>-539.19891000000018</v>
      </c>
      <c r="H42" s="106"/>
      <c r="I42" s="106"/>
      <c r="J42" s="106"/>
      <c r="K42" s="106"/>
      <c r="L42" s="106"/>
      <c r="M42" s="17">
        <f>(3197957.88-3540565.58)/1000</f>
        <v>-342.60770000000019</v>
      </c>
      <c r="N42" s="106"/>
      <c r="O42" s="10">
        <f>-'Página1 (2)'!L113</f>
        <v>46.832180000000164</v>
      </c>
      <c r="P42" s="106"/>
      <c r="Q42" s="10">
        <v>-116.08268999999994</v>
      </c>
      <c r="S42" s="317"/>
    </row>
    <row r="43" spans="1:19" ht="15" x14ac:dyDescent="0.25">
      <c r="A43" s="140" t="s">
        <v>28</v>
      </c>
      <c r="B43" s="140"/>
      <c r="C43" s="10">
        <v>771.36362999999983</v>
      </c>
      <c r="D43" s="10"/>
      <c r="E43" s="106"/>
      <c r="F43" s="106"/>
      <c r="G43" s="10">
        <v>1214.5871999999956</v>
      </c>
      <c r="H43" s="106"/>
      <c r="I43" s="106"/>
      <c r="J43" s="106"/>
      <c r="K43" s="106"/>
      <c r="L43" s="106"/>
      <c r="M43" s="17">
        <f>(52495553.57-50155024.29)/1000</f>
        <v>2340.5292800000011</v>
      </c>
      <c r="N43" s="106"/>
      <c r="O43" s="10">
        <f>-'Página1 (2)'!L116</f>
        <v>277.48323999999462</v>
      </c>
      <c r="P43" s="106"/>
      <c r="Q43" s="10">
        <v>798.66652000000329</v>
      </c>
      <c r="S43" s="317"/>
    </row>
    <row r="44" spans="1:19" ht="15" x14ac:dyDescent="0.25">
      <c r="A44" s="140" t="s">
        <v>1436</v>
      </c>
      <c r="B44" s="140"/>
      <c r="C44" s="10"/>
      <c r="D44" s="10"/>
      <c r="E44" s="106"/>
      <c r="F44" s="106"/>
      <c r="G44" s="10">
        <f>48137.3219-108.59987-1435.06913</f>
        <v>46593.652900000001</v>
      </c>
      <c r="H44" s="106"/>
      <c r="I44" s="106"/>
      <c r="J44" s="106"/>
      <c r="K44" s="106"/>
      <c r="L44" s="106"/>
      <c r="M44" s="10">
        <v>0</v>
      </c>
      <c r="N44" s="106"/>
      <c r="O44" s="10">
        <f>-'Página1 (2)'!L119</f>
        <v>4080.8886000000016</v>
      </c>
      <c r="P44" s="106"/>
      <c r="Q44" s="10">
        <v>0</v>
      </c>
      <c r="S44" s="317"/>
    </row>
    <row r="45" spans="1:19" ht="15" x14ac:dyDescent="0.25">
      <c r="A45" s="140"/>
      <c r="B45" s="140"/>
      <c r="C45" s="140"/>
      <c r="D45" s="140"/>
      <c r="E45" s="106"/>
      <c r="F45" s="106"/>
      <c r="G45" s="140"/>
      <c r="H45" s="106"/>
      <c r="I45" s="106"/>
      <c r="J45" s="106"/>
      <c r="K45" s="106"/>
      <c r="L45" s="106"/>
      <c r="M45" s="140"/>
      <c r="N45" s="106"/>
      <c r="O45" s="140"/>
      <c r="P45" s="106"/>
      <c r="Q45" s="140"/>
      <c r="S45" s="317"/>
    </row>
    <row r="46" spans="1:19" ht="15" x14ac:dyDescent="0.25">
      <c r="A46" s="140" t="s">
        <v>29</v>
      </c>
      <c r="B46" s="140"/>
      <c r="C46" s="142">
        <f>SUM(C47:C55)</f>
        <v>-1416.6352700000004</v>
      </c>
      <c r="D46" s="142"/>
      <c r="E46" s="106"/>
      <c r="F46" s="106"/>
      <c r="G46" s="142">
        <f>SUM(G47:G55)</f>
        <v>3162.7637299999997</v>
      </c>
      <c r="H46" s="106"/>
      <c r="I46" s="106"/>
      <c r="J46" s="106"/>
      <c r="K46" s="106"/>
      <c r="L46" s="106"/>
      <c r="M46" s="142">
        <f>SUM(M47:M55)</f>
        <v>-1726.4057600000006</v>
      </c>
      <c r="N46" s="106"/>
      <c r="O46" s="142">
        <f>SUM(O47:O55)</f>
        <v>-1863.0552299999999</v>
      </c>
      <c r="P46" s="106"/>
      <c r="Q46" s="142">
        <f>SUM(Q47:Q55)</f>
        <v>-315.86038999999982</v>
      </c>
      <c r="S46" s="317"/>
    </row>
    <row r="47" spans="1:19" ht="15" x14ac:dyDescent="0.25">
      <c r="A47" s="140" t="s">
        <v>30</v>
      </c>
      <c r="B47" s="140"/>
      <c r="C47" s="10">
        <v>-743.44182000000001</v>
      </c>
      <c r="D47" s="10"/>
      <c r="E47" s="148"/>
      <c r="F47" s="148"/>
      <c r="G47" s="10">
        <v>228.79429000000005</v>
      </c>
      <c r="H47" s="106"/>
      <c r="I47" s="106"/>
      <c r="J47" s="106"/>
      <c r="K47" s="106"/>
      <c r="L47" s="106"/>
      <c r="M47" s="17">
        <f>(1341469.26-3566348.28)/1000</f>
        <v>-2224.8790199999994</v>
      </c>
      <c r="N47" s="106"/>
      <c r="O47" s="10">
        <f>-'Página1 (2)'!L82</f>
        <v>4.2662399999999909</v>
      </c>
      <c r="P47" s="106"/>
      <c r="Q47" s="10">
        <v>-1200.7419999999997</v>
      </c>
      <c r="S47" s="317"/>
    </row>
    <row r="48" spans="1:19" ht="15" x14ac:dyDescent="0.25">
      <c r="A48" s="140" t="s">
        <v>31</v>
      </c>
      <c r="B48" s="140"/>
      <c r="C48" s="10">
        <v>691.1069100000002</v>
      </c>
      <c r="D48" s="10"/>
      <c r="E48" s="148"/>
      <c r="F48" s="148"/>
      <c r="G48" s="10">
        <v>139.92670000000018</v>
      </c>
      <c r="H48" s="106"/>
      <c r="I48" s="106"/>
      <c r="J48" s="106"/>
      <c r="K48" s="106"/>
      <c r="L48" s="106"/>
      <c r="M48" s="17">
        <f>(3141255.71-1982157.36)/1000</f>
        <v>1159.0983499999998</v>
      </c>
      <c r="N48" s="106"/>
      <c r="O48" s="10">
        <f>-'Página1 (2)'!L85</f>
        <v>-228.36495999999997</v>
      </c>
      <c r="P48" s="106"/>
      <c r="Q48" s="10">
        <v>418.23170000000016</v>
      </c>
      <c r="S48" s="317"/>
    </row>
    <row r="49" spans="1:19" ht="15" x14ac:dyDescent="0.25">
      <c r="A49" s="140" t="s">
        <v>32</v>
      </c>
      <c r="B49" s="140"/>
      <c r="C49" s="10">
        <v>-749.25295000000051</v>
      </c>
      <c r="D49" s="10"/>
      <c r="E49" s="106"/>
      <c r="F49" s="106"/>
      <c r="G49" s="10">
        <v>42.39049000000022</v>
      </c>
      <c r="H49" s="106"/>
      <c r="I49" s="106"/>
      <c r="J49" s="106"/>
      <c r="K49" s="106"/>
      <c r="L49" s="106"/>
      <c r="M49" s="17">
        <f>(4099167.63-4679363.9)/1000</f>
        <v>-580.19627000000048</v>
      </c>
      <c r="N49" s="106"/>
      <c r="O49" s="10">
        <f>-'Página1 (2)'!L95</f>
        <v>190.39179000000004</v>
      </c>
      <c r="P49" s="106"/>
      <c r="Q49" s="10">
        <v>251.26041999999993</v>
      </c>
      <c r="S49" s="317"/>
    </row>
    <row r="50" spans="1:19" ht="15" x14ac:dyDescent="0.25">
      <c r="A50" s="140" t="s">
        <v>33</v>
      </c>
      <c r="B50" s="140"/>
      <c r="C50" s="17">
        <v>-161.4070899999997</v>
      </c>
      <c r="D50" s="10"/>
      <c r="E50" s="106"/>
      <c r="F50" s="106"/>
      <c r="G50" s="10">
        <v>2318.4049799999993</v>
      </c>
      <c r="H50" s="106"/>
      <c r="I50" s="106"/>
      <c r="J50" s="106"/>
      <c r="K50" s="106"/>
      <c r="L50" s="106"/>
      <c r="M50" s="17">
        <f>(2105238.59-2360319.29)/1000</f>
        <v>-255.08070000000018</v>
      </c>
      <c r="N50" s="106"/>
      <c r="O50" s="10">
        <f>-'Página1 (2)'!L88</f>
        <v>-2267.0524500000001</v>
      </c>
      <c r="P50" s="106"/>
      <c r="Q50" s="10">
        <v>23.41583999999985</v>
      </c>
      <c r="S50" s="317"/>
    </row>
    <row r="51" spans="1:19" ht="15" x14ac:dyDescent="0.25">
      <c r="A51" s="140" t="s">
        <v>34</v>
      </c>
      <c r="B51" s="140"/>
      <c r="C51" s="10">
        <v>-221.61881000000005</v>
      </c>
      <c r="D51" s="10"/>
      <c r="E51" s="106"/>
      <c r="F51" s="106"/>
      <c r="G51" s="10">
        <v>-185.44495999999998</v>
      </c>
      <c r="H51" s="106"/>
      <c r="I51" s="106"/>
      <c r="J51" s="106"/>
      <c r="K51" s="106"/>
      <c r="L51" s="106"/>
      <c r="M51" s="17">
        <f>(289570.75-506906.06)/1000</f>
        <v>-217.33530999999999</v>
      </c>
      <c r="N51" s="106"/>
      <c r="O51" s="10">
        <f>-'Página1 (2)'!L91</f>
        <v>-11.674389999999985</v>
      </c>
      <c r="P51" s="106"/>
      <c r="Q51" s="10">
        <v>-24.164119999999997</v>
      </c>
      <c r="S51" s="317"/>
    </row>
    <row r="52" spans="1:19" ht="15" x14ac:dyDescent="0.25">
      <c r="A52" s="140" t="s">
        <v>35</v>
      </c>
      <c r="B52" s="140"/>
      <c r="C52" s="10">
        <v>217.9684599999996</v>
      </c>
      <c r="D52" s="10"/>
      <c r="E52" s="106"/>
      <c r="F52" s="106"/>
      <c r="G52" s="10">
        <v>760.99878000000001</v>
      </c>
      <c r="H52" s="106"/>
      <c r="I52" s="106"/>
      <c r="J52" s="106"/>
      <c r="K52" s="106"/>
      <c r="L52" s="106"/>
      <c r="M52" s="17">
        <f>(2896870.03-2304882.84)/1000</f>
        <v>591.98718999999994</v>
      </c>
      <c r="N52" s="106"/>
      <c r="O52" s="10">
        <f>-'Página1 (2)'!L109</f>
        <v>449.36764000000011</v>
      </c>
      <c r="P52" s="106"/>
      <c r="Q52" s="10">
        <v>-183.87254000000004</v>
      </c>
      <c r="S52" s="317"/>
    </row>
    <row r="53" spans="1:19" ht="15" customHeight="1" x14ac:dyDescent="0.25">
      <c r="A53" s="140" t="s">
        <v>36</v>
      </c>
      <c r="B53" s="140"/>
      <c r="C53" s="10">
        <v>0</v>
      </c>
      <c r="D53" s="10"/>
      <c r="E53" s="106"/>
      <c r="F53" s="106"/>
      <c r="G53" s="10">
        <v>0</v>
      </c>
      <c r="H53" s="106"/>
      <c r="I53" s="106"/>
      <c r="J53" s="106"/>
      <c r="K53" s="106"/>
      <c r="L53" s="106"/>
      <c r="M53" s="10">
        <v>0</v>
      </c>
      <c r="N53" s="106"/>
      <c r="O53" s="10">
        <v>0</v>
      </c>
      <c r="P53" s="106"/>
      <c r="Q53" s="10">
        <v>0</v>
      </c>
      <c r="S53" s="317"/>
    </row>
    <row r="54" spans="1:19" ht="15" x14ac:dyDescent="0.25">
      <c r="A54" s="140" t="s">
        <v>37</v>
      </c>
      <c r="B54" s="140"/>
      <c r="C54" s="10">
        <v>1.0030000000000427E-2</v>
      </c>
      <c r="D54" s="10"/>
      <c r="E54" s="106"/>
      <c r="F54" s="106"/>
      <c r="G54" s="10">
        <v>3.2230000000010479E-2</v>
      </c>
      <c r="H54" s="106"/>
      <c r="I54" s="106"/>
      <c r="J54" s="106"/>
      <c r="K54" s="106"/>
      <c r="L54" s="106"/>
      <c r="M54" s="10">
        <v>0</v>
      </c>
      <c r="N54" s="106"/>
      <c r="O54" s="10">
        <f>-'Página1 (2)'!L102</f>
        <v>1.0900000000008731E-2</v>
      </c>
      <c r="P54" s="106"/>
      <c r="Q54" s="10">
        <v>1.0309999999997672E-2</v>
      </c>
      <c r="S54" s="317"/>
    </row>
    <row r="55" spans="1:19" ht="15" x14ac:dyDescent="0.25">
      <c r="A55" s="140" t="s">
        <v>38</v>
      </c>
      <c r="B55" s="140"/>
      <c r="C55" s="10">
        <v>-449.99999999999989</v>
      </c>
      <c r="D55" s="143"/>
      <c r="E55" s="106"/>
      <c r="F55" s="106"/>
      <c r="G55" s="10">
        <v>-142.33878000000001</v>
      </c>
      <c r="H55" s="106"/>
      <c r="I55" s="106"/>
      <c r="J55" s="106"/>
      <c r="K55" s="106"/>
      <c r="L55" s="106"/>
      <c r="M55" s="17">
        <f>(951465.72-1151465.72)/1000</f>
        <v>-200</v>
      </c>
      <c r="N55" s="106"/>
      <c r="O55" s="10">
        <f>-'Página1 (2)'!L105</f>
        <v>0</v>
      </c>
      <c r="P55" s="106"/>
      <c r="Q55" s="10">
        <v>400</v>
      </c>
      <c r="S55" s="317"/>
    </row>
    <row r="56" spans="1:19" s="333" customFormat="1" ht="15" x14ac:dyDescent="0.25">
      <c r="A56" s="140"/>
      <c r="B56" s="140"/>
      <c r="C56" s="10"/>
      <c r="D56" s="143"/>
      <c r="E56" s="106"/>
      <c r="F56" s="106"/>
      <c r="G56" s="10"/>
      <c r="H56" s="106"/>
      <c r="I56" s="106"/>
      <c r="J56" s="106"/>
      <c r="K56" s="106"/>
      <c r="L56" s="106"/>
      <c r="M56" s="17"/>
      <c r="N56" s="106"/>
      <c r="O56" s="10"/>
      <c r="P56" s="106"/>
      <c r="Q56" s="10"/>
    </row>
    <row r="57" spans="1:19" s="333" customFormat="1" ht="15" x14ac:dyDescent="0.25">
      <c r="A57" s="140"/>
      <c r="B57" s="140"/>
      <c r="C57" s="10"/>
      <c r="D57" s="143"/>
      <c r="E57" s="106"/>
      <c r="F57" s="106"/>
      <c r="G57" s="10"/>
      <c r="H57" s="106"/>
      <c r="I57" s="106"/>
      <c r="J57" s="106"/>
      <c r="K57" s="106"/>
      <c r="L57" s="106"/>
      <c r="M57" s="17"/>
      <c r="N57" s="106"/>
      <c r="O57" s="10"/>
      <c r="P57" s="106"/>
      <c r="Q57" s="10"/>
    </row>
    <row r="58" spans="1:19" s="333" customFormat="1" ht="15" x14ac:dyDescent="0.25">
      <c r="A58" s="140"/>
      <c r="B58" s="140"/>
      <c r="C58" s="10"/>
      <c r="D58" s="143"/>
      <c r="E58" s="106"/>
      <c r="F58" s="106"/>
      <c r="G58" s="10"/>
      <c r="H58" s="106"/>
      <c r="I58" s="106"/>
      <c r="J58" s="106"/>
      <c r="K58" s="106"/>
      <c r="L58" s="106"/>
      <c r="M58" s="17"/>
      <c r="N58" s="106"/>
      <c r="O58" s="10"/>
      <c r="P58" s="106"/>
      <c r="Q58" s="10"/>
    </row>
    <row r="59" spans="1:19" s="333" customFormat="1" ht="15" x14ac:dyDescent="0.25">
      <c r="A59" s="140"/>
      <c r="B59" s="140"/>
      <c r="C59" s="10"/>
      <c r="D59" s="143"/>
      <c r="E59" s="106"/>
      <c r="F59" s="106"/>
      <c r="G59" s="10"/>
      <c r="H59" s="106"/>
      <c r="I59" s="106"/>
      <c r="J59" s="106"/>
      <c r="K59" s="106"/>
      <c r="L59" s="106"/>
      <c r="M59" s="17"/>
      <c r="N59" s="106"/>
      <c r="O59" s="10"/>
      <c r="P59" s="106"/>
      <c r="Q59" s="10"/>
    </row>
    <row r="60" spans="1:19" ht="15" x14ac:dyDescent="0.25">
      <c r="A60" s="140"/>
      <c r="B60" s="140"/>
      <c r="C60" s="140"/>
      <c r="D60" s="140"/>
      <c r="E60" s="106"/>
      <c r="F60" s="106"/>
      <c r="G60" s="140"/>
      <c r="H60" s="106"/>
      <c r="I60" s="106"/>
      <c r="J60" s="106"/>
      <c r="K60" s="106"/>
      <c r="L60" s="106"/>
      <c r="M60" s="140"/>
      <c r="N60" s="106"/>
      <c r="O60" s="140"/>
      <c r="P60" s="106"/>
      <c r="Q60" s="140"/>
      <c r="S60" s="317"/>
    </row>
    <row r="61" spans="1:19" ht="15" x14ac:dyDescent="0.25">
      <c r="A61" s="149" t="s">
        <v>39</v>
      </c>
      <c r="B61" s="149"/>
      <c r="C61" s="142">
        <f>SUM(C63:C69)</f>
        <v>-549.21375999999998</v>
      </c>
      <c r="D61" s="142"/>
      <c r="E61" s="106"/>
      <c r="F61" s="106"/>
      <c r="G61" s="142">
        <f>SUM(G63:G69)</f>
        <v>-305.18393000000719</v>
      </c>
      <c r="H61" s="106"/>
      <c r="I61" s="106"/>
      <c r="J61" s="106"/>
      <c r="K61" s="106"/>
      <c r="L61" s="106"/>
      <c r="M61" s="142">
        <f>SUM(M63:M69)</f>
        <v>3905.2553799999901</v>
      </c>
      <c r="N61" s="106"/>
      <c r="O61" s="142">
        <f>SUM(O63:O69)</f>
        <v>-74.558930000007152</v>
      </c>
      <c r="P61" s="106"/>
      <c r="Q61" s="142">
        <f>SUM(Q63:Q69)</f>
        <v>-0.79000000001117598</v>
      </c>
      <c r="S61" s="317"/>
    </row>
    <row r="62" spans="1:19" ht="15" x14ac:dyDescent="0.25">
      <c r="A62" s="140"/>
      <c r="B62" s="140"/>
      <c r="C62" s="140"/>
      <c r="D62" s="140"/>
      <c r="E62" s="106"/>
      <c r="F62" s="106"/>
      <c r="G62" s="140"/>
      <c r="H62" s="106"/>
      <c r="I62" s="106"/>
      <c r="J62" s="106"/>
      <c r="K62" s="106"/>
      <c r="L62" s="106"/>
      <c r="M62" s="140"/>
      <c r="N62" s="106"/>
      <c r="O62" s="140"/>
      <c r="P62" s="106"/>
      <c r="Q62" s="140"/>
      <c r="S62" s="317"/>
    </row>
    <row r="63" spans="1:19" ht="15" hidden="1" customHeight="1" x14ac:dyDescent="0.25">
      <c r="A63" s="140" t="s">
        <v>40</v>
      </c>
      <c r="B63" s="140"/>
      <c r="C63" s="140"/>
      <c r="D63" s="140"/>
      <c r="E63" s="106"/>
      <c r="F63" s="106"/>
      <c r="G63" s="140"/>
      <c r="H63" s="106"/>
      <c r="I63" s="106"/>
      <c r="J63" s="106"/>
      <c r="K63" s="106"/>
      <c r="L63" s="106"/>
      <c r="M63" s="140"/>
      <c r="N63" s="106"/>
      <c r="O63" s="140"/>
      <c r="P63" s="106"/>
      <c r="Q63" s="140"/>
      <c r="S63" s="317"/>
    </row>
    <row r="64" spans="1:19" ht="15" x14ac:dyDescent="0.25">
      <c r="A64" s="140" t="s">
        <v>41</v>
      </c>
      <c r="B64" s="140"/>
      <c r="C64" s="10">
        <v>-549.21375999999998</v>
      </c>
      <c r="D64" s="10"/>
      <c r="E64" s="106"/>
      <c r="F64" s="106"/>
      <c r="G64" s="10">
        <v>-75.848930000007158</v>
      </c>
      <c r="H64" s="106"/>
      <c r="I64" s="106"/>
      <c r="J64" s="106"/>
      <c r="K64" s="106"/>
      <c r="L64" s="106"/>
      <c r="M64" s="168">
        <f>-644.18816-0.79</f>
        <v>-644.97816</v>
      </c>
      <c r="N64" s="106"/>
      <c r="O64" s="10">
        <f>-'Página1 (2)'!L57</f>
        <v>-74.558930000007152</v>
      </c>
      <c r="P64" s="106"/>
      <c r="Q64" s="10">
        <v>0</v>
      </c>
      <c r="S64" s="317"/>
    </row>
    <row r="65" spans="1:19" ht="15" hidden="1" customHeight="1" x14ac:dyDescent="0.25">
      <c r="A65" s="140" t="s">
        <v>42</v>
      </c>
      <c r="B65" s="140"/>
      <c r="C65" s="106"/>
      <c r="D65" s="10"/>
      <c r="E65" s="106"/>
      <c r="F65" s="106"/>
      <c r="G65" s="10">
        <v>0</v>
      </c>
      <c r="H65" s="106"/>
      <c r="I65" s="106"/>
      <c r="J65" s="106"/>
      <c r="K65" s="106"/>
      <c r="L65" s="106"/>
      <c r="M65" s="10"/>
      <c r="N65" s="106"/>
      <c r="O65" s="10"/>
      <c r="P65" s="106"/>
      <c r="Q65" s="10">
        <v>0</v>
      </c>
      <c r="S65" s="317"/>
    </row>
    <row r="66" spans="1:19" ht="15" x14ac:dyDescent="0.25">
      <c r="A66" s="140" t="s">
        <v>1592</v>
      </c>
      <c r="B66" s="140"/>
      <c r="C66" s="141"/>
      <c r="D66" s="141"/>
      <c r="E66" s="10"/>
      <c r="F66" s="10"/>
      <c r="G66" s="10">
        <v>0</v>
      </c>
      <c r="H66" s="106"/>
      <c r="I66" s="106"/>
      <c r="J66" s="106"/>
      <c r="K66" s="106"/>
      <c r="L66" s="106"/>
      <c r="M66" s="168">
        <f>4610.34973999999+0.79</f>
        <v>4611.1397399999896</v>
      </c>
      <c r="N66" s="106"/>
      <c r="O66" s="10">
        <v>0</v>
      </c>
      <c r="P66" s="106"/>
      <c r="Q66" s="10">
        <v>60.116199999988076</v>
      </c>
      <c r="S66" s="317"/>
    </row>
    <row r="67" spans="1:19" ht="15" hidden="1" customHeight="1" x14ac:dyDescent="0.25">
      <c r="A67" s="140"/>
      <c r="B67" s="140"/>
      <c r="C67" s="141"/>
      <c r="D67" s="141"/>
      <c r="E67" s="106"/>
      <c r="F67" s="106"/>
      <c r="G67" s="141">
        <v>0</v>
      </c>
      <c r="H67" s="106"/>
      <c r="I67" s="106"/>
      <c r="J67" s="106"/>
      <c r="K67" s="106"/>
      <c r="L67" s="106"/>
      <c r="M67" s="141"/>
      <c r="N67" s="106"/>
      <c r="O67" s="141"/>
      <c r="P67" s="106"/>
      <c r="Q67" s="141">
        <v>0</v>
      </c>
      <c r="S67" s="317"/>
    </row>
    <row r="68" spans="1:19" ht="15" x14ac:dyDescent="0.25">
      <c r="A68" s="140" t="s">
        <v>43</v>
      </c>
      <c r="B68" s="140"/>
      <c r="C68" s="10"/>
      <c r="D68" s="10"/>
      <c r="E68" s="106"/>
      <c r="F68" s="106"/>
      <c r="G68" s="10">
        <v>-229.33500000000001</v>
      </c>
      <c r="H68" s="106"/>
      <c r="I68" s="106"/>
      <c r="J68" s="106"/>
      <c r="K68" s="106"/>
      <c r="L68" s="106"/>
      <c r="M68" s="167">
        <v>-60.906199999999252</v>
      </c>
      <c r="N68" s="106"/>
      <c r="O68" s="10">
        <v>0</v>
      </c>
      <c r="P68" s="106"/>
      <c r="Q68" s="10">
        <v>-60.906199999999252</v>
      </c>
      <c r="S68" s="317"/>
    </row>
    <row r="69" spans="1:19" ht="15" x14ac:dyDescent="0.25">
      <c r="A69" s="140" t="s">
        <v>44</v>
      </c>
      <c r="B69" s="140"/>
      <c r="C69" s="143" t="s">
        <v>45</v>
      </c>
      <c r="D69" s="143"/>
      <c r="E69" s="106"/>
      <c r="F69" s="106"/>
      <c r="G69" s="143">
        <v>0</v>
      </c>
      <c r="H69" s="106"/>
      <c r="I69" s="106"/>
      <c r="J69" s="106"/>
      <c r="K69" s="106"/>
      <c r="L69" s="106"/>
      <c r="M69" s="167">
        <v>0</v>
      </c>
      <c r="N69" s="106"/>
      <c r="O69" s="143">
        <v>0</v>
      </c>
      <c r="P69" s="106"/>
      <c r="Q69" s="143">
        <v>0</v>
      </c>
      <c r="S69" s="317"/>
    </row>
    <row r="70" spans="1:19" ht="15" x14ac:dyDescent="0.25">
      <c r="A70" s="140"/>
      <c r="B70" s="140"/>
      <c r="C70" s="140"/>
      <c r="D70" s="140"/>
      <c r="E70" s="106"/>
      <c r="F70" s="106"/>
      <c r="G70" s="140"/>
      <c r="H70" s="106"/>
      <c r="I70" s="106"/>
      <c r="J70" s="106"/>
      <c r="K70" s="106"/>
      <c r="L70" s="106"/>
      <c r="M70" s="140"/>
      <c r="N70" s="106"/>
      <c r="O70" s="140"/>
      <c r="P70" s="106"/>
      <c r="Q70" s="140"/>
      <c r="S70" s="317"/>
    </row>
    <row r="71" spans="1:19" ht="15" x14ac:dyDescent="0.25">
      <c r="A71" s="149" t="s">
        <v>46</v>
      </c>
      <c r="B71" s="149"/>
      <c r="C71" s="142">
        <f>SUM(C73:C74)</f>
        <v>21.205469999999998</v>
      </c>
      <c r="D71" s="142"/>
      <c r="E71" s="106"/>
      <c r="F71" s="106"/>
      <c r="G71" s="142">
        <f>SUM(G73:G78)</f>
        <v>-11120.20693</v>
      </c>
      <c r="H71" s="106"/>
      <c r="I71" s="106"/>
      <c r="J71" s="106"/>
      <c r="K71" s="106"/>
      <c r="L71" s="106"/>
      <c r="M71" s="142">
        <f>SUM(M73:M78)</f>
        <v>64.343209999999999</v>
      </c>
      <c r="N71" s="106"/>
      <c r="O71" s="142">
        <f>SUM(O73:O78)</f>
        <v>-3488.2117200000002</v>
      </c>
      <c r="P71" s="106"/>
      <c r="Q71" s="142">
        <f>SUM(Q73:Q78)</f>
        <v>21.606149999999907</v>
      </c>
      <c r="S71" s="317"/>
    </row>
    <row r="72" spans="1:19" ht="15" x14ac:dyDescent="0.25">
      <c r="A72" s="140"/>
      <c r="B72" s="140"/>
      <c r="C72" s="140"/>
      <c r="D72" s="140"/>
      <c r="E72" s="106"/>
      <c r="F72" s="106"/>
      <c r="G72" s="140"/>
      <c r="H72" s="106"/>
      <c r="I72" s="106"/>
      <c r="J72" s="106"/>
      <c r="K72" s="106"/>
      <c r="L72" s="106"/>
      <c r="M72" s="140"/>
      <c r="N72" s="106"/>
      <c r="O72" s="140"/>
      <c r="P72" s="106"/>
      <c r="Q72" s="140"/>
      <c r="S72" s="317"/>
    </row>
    <row r="73" spans="1:19" ht="15" x14ac:dyDescent="0.25">
      <c r="A73" s="140" t="s">
        <v>47</v>
      </c>
      <c r="B73" s="140"/>
      <c r="C73" s="143" t="s">
        <v>45</v>
      </c>
      <c r="D73" s="143"/>
      <c r="E73" s="106"/>
      <c r="F73" s="106"/>
      <c r="G73" s="10">
        <v>0</v>
      </c>
      <c r="H73" s="106"/>
      <c r="I73" s="106"/>
      <c r="J73" s="106"/>
      <c r="K73" s="106"/>
      <c r="L73" s="106"/>
      <c r="M73" s="10">
        <v>0</v>
      </c>
      <c r="N73" s="106"/>
      <c r="O73" s="10">
        <v>0</v>
      </c>
      <c r="P73" s="106"/>
      <c r="Q73" s="10">
        <v>0</v>
      </c>
      <c r="S73" s="317"/>
    </row>
    <row r="74" spans="1:19" ht="15" x14ac:dyDescent="0.25">
      <c r="A74" s="140" t="s">
        <v>48</v>
      </c>
      <c r="B74" s="140"/>
      <c r="C74" s="18">
        <v>21.205469999999998</v>
      </c>
      <c r="D74" s="18"/>
      <c r="E74" s="106"/>
      <c r="F74" s="106"/>
      <c r="G74" s="10">
        <v>33.390069999999831</v>
      </c>
      <c r="H74" s="106"/>
      <c r="I74" s="106"/>
      <c r="J74" s="106"/>
      <c r="K74" s="106"/>
      <c r="L74" s="106"/>
      <c r="M74" s="168">
        <f>64.34321</f>
        <v>64.343209999999999</v>
      </c>
      <c r="N74" s="106"/>
      <c r="O74" s="10">
        <f>-'Página1 (2)'!L131</f>
        <v>7.6282800000000277</v>
      </c>
      <c r="P74" s="106"/>
      <c r="Q74" s="10">
        <v>21.606149999999907</v>
      </c>
      <c r="S74" s="317"/>
    </row>
    <row r="75" spans="1:19" s="74" customFormat="1" ht="15" x14ac:dyDescent="0.25">
      <c r="A75" s="140" t="s">
        <v>1423</v>
      </c>
      <c r="B75" s="140"/>
      <c r="C75" s="10"/>
      <c r="D75" s="143"/>
      <c r="E75" s="144"/>
      <c r="F75" s="144"/>
      <c r="G75" s="10">
        <v>0</v>
      </c>
      <c r="H75" s="106"/>
      <c r="I75" s="106"/>
      <c r="J75" s="106"/>
      <c r="K75" s="106"/>
      <c r="L75" s="106"/>
      <c r="M75" s="10">
        <v>0</v>
      </c>
      <c r="N75" s="106"/>
      <c r="O75" s="10">
        <v>0</v>
      </c>
      <c r="P75" s="106"/>
      <c r="Q75" s="10">
        <v>0</v>
      </c>
      <c r="S75" s="317"/>
    </row>
    <row r="76" spans="1:19" s="74" customFormat="1" ht="15" x14ac:dyDescent="0.25">
      <c r="A76" s="140" t="s">
        <v>1435</v>
      </c>
      <c r="B76" s="140"/>
      <c r="C76" s="10"/>
      <c r="D76" s="143"/>
      <c r="E76" s="106"/>
      <c r="F76" s="106"/>
      <c r="G76" s="10">
        <v>-11153.597</v>
      </c>
      <c r="H76" s="106"/>
      <c r="I76" s="106"/>
      <c r="J76" s="106"/>
      <c r="K76" s="106"/>
      <c r="L76" s="106"/>
      <c r="M76" s="10">
        <v>0</v>
      </c>
      <c r="N76" s="106"/>
      <c r="O76" s="10">
        <v>-3495.84</v>
      </c>
      <c r="P76" s="106"/>
      <c r="Q76" s="10">
        <v>0</v>
      </c>
      <c r="S76" s="317"/>
    </row>
    <row r="77" spans="1:19" s="74" customFormat="1" ht="15" x14ac:dyDescent="0.25">
      <c r="A77" s="140"/>
      <c r="B77" s="140"/>
      <c r="C77" s="18"/>
      <c r="D77" s="18"/>
      <c r="E77" s="106"/>
      <c r="F77" s="106"/>
      <c r="G77" s="18"/>
      <c r="H77" s="106"/>
      <c r="I77" s="106"/>
      <c r="J77" s="106"/>
      <c r="K77" s="106"/>
      <c r="L77" s="106"/>
      <c r="M77" s="18"/>
      <c r="N77" s="106"/>
      <c r="O77" s="18"/>
      <c r="P77" s="106"/>
      <c r="Q77" s="18"/>
      <c r="S77" s="317"/>
    </row>
    <row r="78" spans="1:19" ht="15" x14ac:dyDescent="0.25">
      <c r="A78" s="140"/>
      <c r="B78" s="140"/>
      <c r="C78" s="10"/>
      <c r="D78" s="143"/>
      <c r="E78" s="106"/>
      <c r="F78" s="106"/>
      <c r="G78" s="10"/>
      <c r="H78" s="106"/>
      <c r="I78" s="106"/>
      <c r="J78" s="106"/>
      <c r="K78" s="106"/>
      <c r="L78" s="106"/>
      <c r="M78" s="10"/>
      <c r="N78" s="106"/>
      <c r="O78" s="10"/>
      <c r="P78" s="106"/>
      <c r="Q78" s="10"/>
      <c r="S78" s="317"/>
    </row>
    <row r="79" spans="1:19" ht="15" x14ac:dyDescent="0.25">
      <c r="A79" s="140"/>
      <c r="B79" s="140"/>
      <c r="C79" s="140"/>
      <c r="D79" s="140"/>
      <c r="E79" s="106"/>
      <c r="F79" s="106"/>
      <c r="G79" s="140"/>
      <c r="H79" s="106"/>
      <c r="I79" s="106"/>
      <c r="J79" s="106"/>
      <c r="K79" s="106"/>
      <c r="L79" s="106"/>
      <c r="M79" s="140"/>
      <c r="N79" s="106"/>
      <c r="O79" s="140"/>
      <c r="P79" s="106"/>
      <c r="Q79" s="140"/>
      <c r="S79" s="317"/>
    </row>
    <row r="80" spans="1:19" ht="15" x14ac:dyDescent="0.25">
      <c r="A80" s="399" t="s">
        <v>49</v>
      </c>
      <c r="B80" s="150"/>
      <c r="C80" s="151">
        <f>C83-C82</f>
        <v>-1797.5868</v>
      </c>
      <c r="D80" s="151"/>
      <c r="E80" s="106"/>
      <c r="F80" s="106"/>
      <c r="G80" s="151">
        <f>G83-G82</f>
        <v>6530.2090200000002</v>
      </c>
      <c r="H80" s="106"/>
      <c r="I80" s="106"/>
      <c r="J80" s="106"/>
      <c r="K80" s="106"/>
      <c r="L80" s="106"/>
      <c r="M80" s="151">
        <f>M83-M82</f>
        <v>-1496.3376499999999</v>
      </c>
      <c r="N80" s="106"/>
      <c r="O80" s="151">
        <f>O83-O82</f>
        <v>1509.7685600000004</v>
      </c>
      <c r="P80" s="106"/>
      <c r="Q80" s="151">
        <f>Q83-Q82</f>
        <v>178.27719999999977</v>
      </c>
      <c r="S80" s="317"/>
    </row>
    <row r="81" spans="1:19" ht="15" x14ac:dyDescent="0.25">
      <c r="A81" s="400"/>
      <c r="B81" s="106"/>
      <c r="C81" s="140"/>
      <c r="D81" s="140"/>
      <c r="E81" s="106"/>
      <c r="F81" s="106"/>
      <c r="G81" s="140"/>
      <c r="H81" s="106"/>
      <c r="I81" s="106"/>
      <c r="J81" s="106"/>
      <c r="K81" s="106"/>
      <c r="L81" s="106"/>
      <c r="M81" s="140"/>
      <c r="N81" s="106"/>
      <c r="O81" s="140"/>
      <c r="P81" s="106"/>
      <c r="Q81" s="140"/>
      <c r="S81" s="317"/>
    </row>
    <row r="82" spans="1:19" ht="15" customHeight="1" x14ac:dyDescent="0.25">
      <c r="A82" s="140" t="s">
        <v>50</v>
      </c>
      <c r="B82" s="140"/>
      <c r="C82" s="10">
        <v>3648.9640300000001</v>
      </c>
      <c r="D82" s="141"/>
      <c r="E82" s="106"/>
      <c r="F82" s="106"/>
      <c r="G82" s="141">
        <v>3326.9401699999999</v>
      </c>
      <c r="H82" s="106"/>
      <c r="I82" s="106"/>
      <c r="J82" s="106"/>
      <c r="K82" s="106"/>
      <c r="L82" s="106"/>
      <c r="M82" s="168">
        <f>3648.96403</f>
        <v>3648.9640300000001</v>
      </c>
      <c r="N82" s="106"/>
      <c r="O82" s="141">
        <f>'Página1 (2)'!E4/1000</f>
        <v>8347.3806299999997</v>
      </c>
      <c r="P82" s="106"/>
      <c r="Q82" s="141">
        <v>1974.3491799999999</v>
      </c>
      <c r="S82" s="317"/>
    </row>
    <row r="83" spans="1:19" ht="15" x14ac:dyDescent="0.25">
      <c r="A83" s="140" t="s">
        <v>51</v>
      </c>
      <c r="B83" s="140"/>
      <c r="C83" s="141">
        <v>1851.3772300000001</v>
      </c>
      <c r="D83" s="141"/>
      <c r="E83" s="106"/>
      <c r="F83" s="106"/>
      <c r="G83" s="141">
        <v>9857.1491900000001</v>
      </c>
      <c r="H83" s="106"/>
      <c r="I83" s="106"/>
      <c r="J83" s="106"/>
      <c r="K83" s="106"/>
      <c r="L83" s="106"/>
      <c r="M83" s="10">
        <f>2152.62638</f>
        <v>2152.6263800000002</v>
      </c>
      <c r="N83" s="106"/>
      <c r="O83" s="141">
        <f>'Página1 (2)'!J4/1000</f>
        <v>9857.1491900000001</v>
      </c>
      <c r="P83" s="106"/>
      <c r="Q83" s="141">
        <v>2152.6263799999997</v>
      </c>
      <c r="S83" s="317"/>
    </row>
    <row r="84" spans="1:19" ht="15" x14ac:dyDescent="0.25">
      <c r="A84" s="140"/>
      <c r="B84" s="140"/>
      <c r="C84" s="140"/>
      <c r="D84" s="140"/>
      <c r="E84" s="106"/>
      <c r="F84" s="106"/>
      <c r="G84" s="140"/>
      <c r="H84" s="106"/>
      <c r="I84" s="106"/>
      <c r="J84" s="106"/>
      <c r="K84" s="106"/>
      <c r="L84" s="106"/>
      <c r="M84" s="140"/>
      <c r="N84" s="106"/>
      <c r="O84" s="140"/>
      <c r="P84" s="106"/>
      <c r="Q84" s="140"/>
      <c r="S84" s="317"/>
    </row>
    <row r="85" spans="1:19" ht="15" x14ac:dyDescent="0.25">
      <c r="A85" s="149" t="s">
        <v>52</v>
      </c>
      <c r="B85" s="149"/>
      <c r="C85" s="152">
        <f>C71+C61+C16</f>
        <v>-1797.5868000000103</v>
      </c>
      <c r="D85" s="152"/>
      <c r="E85" s="106"/>
      <c r="F85" s="106"/>
      <c r="G85" s="152">
        <f>G71+G61+G16</f>
        <v>6530.2090199999875</v>
      </c>
      <c r="H85" s="106"/>
      <c r="I85" s="106"/>
      <c r="J85" s="106"/>
      <c r="K85" s="106"/>
      <c r="L85" s="106"/>
      <c r="M85" s="152">
        <f>M71+M61+M16</f>
        <v>-1496.368150000008</v>
      </c>
      <c r="N85" s="106"/>
      <c r="O85" s="152">
        <f>O71+O61+O16</f>
        <v>1509.76855999999</v>
      </c>
      <c r="P85" s="106"/>
      <c r="Q85" s="152">
        <f>Q71+Q61+Q16</f>
        <v>178.27719999999374</v>
      </c>
      <c r="S85" s="317"/>
    </row>
    <row r="86" spans="1:19" ht="15" customHeight="1" x14ac:dyDescent="0.25">
      <c r="A86" s="140"/>
      <c r="B86" s="140"/>
      <c r="C86" s="140"/>
      <c r="D86" s="140"/>
      <c r="E86" s="106"/>
      <c r="F86" s="106"/>
      <c r="G86" s="140"/>
      <c r="H86" s="106"/>
      <c r="I86" s="106"/>
      <c r="J86" s="106"/>
      <c r="K86" s="106"/>
      <c r="L86" s="106"/>
      <c r="M86" s="140"/>
      <c r="N86" s="106"/>
      <c r="O86" s="106"/>
      <c r="P86" s="106"/>
      <c r="Q86" s="106"/>
      <c r="S86" s="317"/>
    </row>
    <row r="87" spans="1:19" s="333" customFormat="1" ht="15" customHeight="1" x14ac:dyDescent="0.25">
      <c r="A87" s="140"/>
      <c r="B87" s="140"/>
      <c r="C87" s="140"/>
      <c r="D87" s="140"/>
      <c r="E87" s="106"/>
      <c r="F87" s="106"/>
      <c r="G87" s="140"/>
      <c r="H87" s="106"/>
      <c r="I87" s="106"/>
      <c r="J87" s="106"/>
      <c r="K87" s="106"/>
      <c r="L87" s="106"/>
      <c r="M87" s="140"/>
      <c r="N87" s="106"/>
      <c r="O87" s="106"/>
      <c r="P87" s="106"/>
      <c r="Q87" s="106"/>
    </row>
    <row r="88" spans="1:19" s="333" customFormat="1" ht="15" customHeight="1" x14ac:dyDescent="0.25">
      <c r="A88" s="140"/>
      <c r="B88" s="140"/>
      <c r="C88" s="140"/>
      <c r="D88" s="140"/>
      <c r="E88" s="106"/>
      <c r="F88" s="106"/>
      <c r="G88" s="140"/>
      <c r="H88" s="106"/>
      <c r="I88" s="106"/>
      <c r="J88" s="106"/>
      <c r="K88" s="106"/>
      <c r="L88" s="106"/>
      <c r="M88" s="140"/>
      <c r="N88" s="106"/>
      <c r="O88" s="106"/>
      <c r="P88" s="106"/>
      <c r="Q88" s="106"/>
    </row>
    <row r="89" spans="1:19" ht="15" customHeight="1" x14ac:dyDescent="0.25">
      <c r="A89" s="398" t="s">
        <v>53</v>
      </c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S89" s="317"/>
    </row>
    <row r="90" spans="1:19" ht="15" customHeight="1" x14ac:dyDescent="0.2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S90" s="317"/>
    </row>
    <row r="91" spans="1:19" x14ac:dyDescent="0.2">
      <c r="A91" s="106"/>
      <c r="B91" s="106"/>
      <c r="C91" s="106"/>
      <c r="D91" s="106"/>
      <c r="E91" s="106"/>
      <c r="F91" s="106"/>
      <c r="G91" s="153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S91" s="317"/>
    </row>
    <row r="92" spans="1:19" x14ac:dyDescent="0.2">
      <c r="A92" s="106"/>
      <c r="B92" s="106"/>
      <c r="C92" s="106"/>
      <c r="D92" s="106"/>
      <c r="E92" s="106"/>
      <c r="F92" s="106"/>
      <c r="G92" s="153"/>
      <c r="H92" s="106"/>
      <c r="I92" s="106"/>
      <c r="J92" s="106"/>
      <c r="K92" s="106"/>
      <c r="L92" s="106"/>
      <c r="M92" s="153"/>
      <c r="N92" s="106"/>
      <c r="O92" s="153"/>
      <c r="P92" s="153"/>
      <c r="Q92" s="153"/>
      <c r="S92" s="317"/>
    </row>
    <row r="93" spans="1:19" x14ac:dyDescent="0.2">
      <c r="A93" s="106"/>
      <c r="B93" s="106"/>
      <c r="C93" s="106"/>
      <c r="D93" s="106"/>
      <c r="E93" s="106"/>
      <c r="F93" s="106"/>
      <c r="G93" s="153"/>
      <c r="H93" s="106"/>
      <c r="I93" s="106"/>
      <c r="J93" s="106"/>
      <c r="K93" s="106"/>
      <c r="L93" s="106"/>
      <c r="M93" s="153"/>
      <c r="N93" s="106"/>
      <c r="O93" s="106"/>
      <c r="P93" s="106"/>
      <c r="Q93" s="106"/>
    </row>
    <row r="94" spans="1:19" x14ac:dyDescent="0.2">
      <c r="A94" s="106"/>
      <c r="B94" s="106"/>
      <c r="C94" s="106"/>
      <c r="D94" s="106"/>
      <c r="E94" s="106"/>
      <c r="F94" s="106"/>
      <c r="G94" s="153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1:19" x14ac:dyDescent="0.2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1:19" x14ac:dyDescent="0.2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1:17" x14ac:dyDescent="0.2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1:17" x14ac:dyDescent="0.2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1:17" x14ac:dyDescent="0.2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1:17" x14ac:dyDescent="0.2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1:17" x14ac:dyDescent="0.2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1:17" x14ac:dyDescent="0.2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1:17" x14ac:dyDescent="0.2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1:17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1:17" x14ac:dyDescent="0.2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1:17" x14ac:dyDescent="0.2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1:17" x14ac:dyDescent="0.2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1:17" x14ac:dyDescent="0.2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1:17" x14ac:dyDescent="0.2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1:17" x14ac:dyDescent="0.2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1:17" x14ac:dyDescent="0.2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1:17" x14ac:dyDescent="0.2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1:17" x14ac:dyDescent="0.2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1:17" x14ac:dyDescent="0.2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1:17" x14ac:dyDescent="0.2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1:17" x14ac:dyDescent="0.2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1:17" x14ac:dyDescent="0.2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1:17" x14ac:dyDescent="0.2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1:17" x14ac:dyDescent="0.2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1:17" x14ac:dyDescent="0.2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1:17" x14ac:dyDescent="0.2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82" ht="12.75" customHeight="1" x14ac:dyDescent="0.2"/>
    <row r="183" ht="12.75" customHeight="1" x14ac:dyDescent="0.2"/>
  </sheetData>
  <mergeCells count="8">
    <mergeCell ref="A89:Q89"/>
    <mergeCell ref="A80:A81"/>
    <mergeCell ref="A1:Q1"/>
    <mergeCell ref="A2:Q2"/>
    <mergeCell ref="A4:Q4"/>
    <mergeCell ref="A6:Q6"/>
    <mergeCell ref="A7:Q7"/>
    <mergeCell ref="A8:Q8"/>
  </mergeCells>
  <pageMargins left="0.51181102362204722" right="0.51181102362204722" top="2.77" bottom="0.78740157480314965" header="2.78" footer="0.79"/>
  <pageSetup paperSize="9" scale="7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34" customWidth="1"/>
    <col min="2" max="2" width="2.140625" style="34" customWidth="1"/>
    <col min="3" max="3" width="23.5703125" style="34" customWidth="1"/>
    <col min="4" max="4" width="26.85546875" style="34" customWidth="1"/>
    <col min="5" max="5" width="16.140625" style="34" customWidth="1"/>
    <col min="6" max="6" width="15.42578125" style="34" customWidth="1"/>
    <col min="7" max="7" width="2.140625" style="34" customWidth="1"/>
    <col min="8" max="8" width="14" style="34" customWidth="1"/>
    <col min="9" max="9" width="2.140625" style="34" customWidth="1"/>
    <col min="10" max="10" width="15.42578125" style="34" customWidth="1"/>
    <col min="11" max="256" width="9.140625" style="34"/>
    <col min="257" max="257" width="13.85546875" style="34" customWidth="1"/>
    <col min="258" max="258" width="2.140625" style="34" customWidth="1"/>
    <col min="259" max="259" width="23.5703125" style="34" customWidth="1"/>
    <col min="260" max="260" width="26.85546875" style="34" customWidth="1"/>
    <col min="261" max="261" width="16.140625" style="34" customWidth="1"/>
    <col min="262" max="262" width="15.42578125" style="34" customWidth="1"/>
    <col min="263" max="263" width="2.140625" style="34" customWidth="1"/>
    <col min="264" max="264" width="14" style="34" customWidth="1"/>
    <col min="265" max="265" width="2.140625" style="34" customWidth="1"/>
    <col min="266" max="266" width="15.42578125" style="34" customWidth="1"/>
    <col min="267" max="512" width="9.140625" style="34"/>
    <col min="513" max="513" width="13.85546875" style="34" customWidth="1"/>
    <col min="514" max="514" width="2.140625" style="34" customWidth="1"/>
    <col min="515" max="515" width="23.5703125" style="34" customWidth="1"/>
    <col min="516" max="516" width="26.85546875" style="34" customWidth="1"/>
    <col min="517" max="517" width="16.140625" style="34" customWidth="1"/>
    <col min="518" max="518" width="15.42578125" style="34" customWidth="1"/>
    <col min="519" max="519" width="2.140625" style="34" customWidth="1"/>
    <col min="520" max="520" width="14" style="34" customWidth="1"/>
    <col min="521" max="521" width="2.140625" style="34" customWidth="1"/>
    <col min="522" max="522" width="15.42578125" style="34" customWidth="1"/>
    <col min="523" max="768" width="9.140625" style="34"/>
    <col min="769" max="769" width="13.85546875" style="34" customWidth="1"/>
    <col min="770" max="770" width="2.140625" style="34" customWidth="1"/>
    <col min="771" max="771" width="23.5703125" style="34" customWidth="1"/>
    <col min="772" max="772" width="26.85546875" style="34" customWidth="1"/>
    <col min="773" max="773" width="16.140625" style="34" customWidth="1"/>
    <col min="774" max="774" width="15.42578125" style="34" customWidth="1"/>
    <col min="775" max="775" width="2.140625" style="34" customWidth="1"/>
    <col min="776" max="776" width="14" style="34" customWidth="1"/>
    <col min="777" max="777" width="2.140625" style="34" customWidth="1"/>
    <col min="778" max="778" width="15.42578125" style="34" customWidth="1"/>
    <col min="779" max="1024" width="9.140625" style="34"/>
    <col min="1025" max="1025" width="13.85546875" style="34" customWidth="1"/>
    <col min="1026" max="1026" width="2.140625" style="34" customWidth="1"/>
    <col min="1027" max="1027" width="23.5703125" style="34" customWidth="1"/>
    <col min="1028" max="1028" width="26.85546875" style="34" customWidth="1"/>
    <col min="1029" max="1029" width="16.140625" style="34" customWidth="1"/>
    <col min="1030" max="1030" width="15.42578125" style="34" customWidth="1"/>
    <col min="1031" max="1031" width="2.140625" style="34" customWidth="1"/>
    <col min="1032" max="1032" width="14" style="34" customWidth="1"/>
    <col min="1033" max="1033" width="2.140625" style="34" customWidth="1"/>
    <col min="1034" max="1034" width="15.42578125" style="34" customWidth="1"/>
    <col min="1035" max="1280" width="9.140625" style="34"/>
    <col min="1281" max="1281" width="13.85546875" style="34" customWidth="1"/>
    <col min="1282" max="1282" width="2.140625" style="34" customWidth="1"/>
    <col min="1283" max="1283" width="23.5703125" style="34" customWidth="1"/>
    <col min="1284" max="1284" width="26.85546875" style="34" customWidth="1"/>
    <col min="1285" max="1285" width="16.140625" style="34" customWidth="1"/>
    <col min="1286" max="1286" width="15.42578125" style="34" customWidth="1"/>
    <col min="1287" max="1287" width="2.140625" style="34" customWidth="1"/>
    <col min="1288" max="1288" width="14" style="34" customWidth="1"/>
    <col min="1289" max="1289" width="2.140625" style="34" customWidth="1"/>
    <col min="1290" max="1290" width="15.42578125" style="34" customWidth="1"/>
    <col min="1291" max="1536" width="9.140625" style="34"/>
    <col min="1537" max="1537" width="13.85546875" style="34" customWidth="1"/>
    <col min="1538" max="1538" width="2.140625" style="34" customWidth="1"/>
    <col min="1539" max="1539" width="23.5703125" style="34" customWidth="1"/>
    <col min="1540" max="1540" width="26.85546875" style="34" customWidth="1"/>
    <col min="1541" max="1541" width="16.140625" style="34" customWidth="1"/>
    <col min="1542" max="1542" width="15.42578125" style="34" customWidth="1"/>
    <col min="1543" max="1543" width="2.140625" style="34" customWidth="1"/>
    <col min="1544" max="1544" width="14" style="34" customWidth="1"/>
    <col min="1545" max="1545" width="2.140625" style="34" customWidth="1"/>
    <col min="1546" max="1546" width="15.42578125" style="34" customWidth="1"/>
    <col min="1547" max="1792" width="9.140625" style="34"/>
    <col min="1793" max="1793" width="13.85546875" style="34" customWidth="1"/>
    <col min="1794" max="1794" width="2.140625" style="34" customWidth="1"/>
    <col min="1795" max="1795" width="23.5703125" style="34" customWidth="1"/>
    <col min="1796" max="1796" width="26.85546875" style="34" customWidth="1"/>
    <col min="1797" max="1797" width="16.140625" style="34" customWidth="1"/>
    <col min="1798" max="1798" width="15.42578125" style="34" customWidth="1"/>
    <col min="1799" max="1799" width="2.140625" style="34" customWidth="1"/>
    <col min="1800" max="1800" width="14" style="34" customWidth="1"/>
    <col min="1801" max="1801" width="2.140625" style="34" customWidth="1"/>
    <col min="1802" max="1802" width="15.42578125" style="34" customWidth="1"/>
    <col min="1803" max="2048" width="9.140625" style="34"/>
    <col min="2049" max="2049" width="13.85546875" style="34" customWidth="1"/>
    <col min="2050" max="2050" width="2.140625" style="34" customWidth="1"/>
    <col min="2051" max="2051" width="23.5703125" style="34" customWidth="1"/>
    <col min="2052" max="2052" width="26.85546875" style="34" customWidth="1"/>
    <col min="2053" max="2053" width="16.140625" style="34" customWidth="1"/>
    <col min="2054" max="2054" width="15.42578125" style="34" customWidth="1"/>
    <col min="2055" max="2055" width="2.140625" style="34" customWidth="1"/>
    <col min="2056" max="2056" width="14" style="34" customWidth="1"/>
    <col min="2057" max="2057" width="2.140625" style="34" customWidth="1"/>
    <col min="2058" max="2058" width="15.42578125" style="34" customWidth="1"/>
    <col min="2059" max="2304" width="9.140625" style="34"/>
    <col min="2305" max="2305" width="13.85546875" style="34" customWidth="1"/>
    <col min="2306" max="2306" width="2.140625" style="34" customWidth="1"/>
    <col min="2307" max="2307" width="23.5703125" style="34" customWidth="1"/>
    <col min="2308" max="2308" width="26.85546875" style="34" customWidth="1"/>
    <col min="2309" max="2309" width="16.140625" style="34" customWidth="1"/>
    <col min="2310" max="2310" width="15.42578125" style="34" customWidth="1"/>
    <col min="2311" max="2311" width="2.140625" style="34" customWidth="1"/>
    <col min="2312" max="2312" width="14" style="34" customWidth="1"/>
    <col min="2313" max="2313" width="2.140625" style="34" customWidth="1"/>
    <col min="2314" max="2314" width="15.42578125" style="34" customWidth="1"/>
    <col min="2315" max="2560" width="9.140625" style="34"/>
    <col min="2561" max="2561" width="13.85546875" style="34" customWidth="1"/>
    <col min="2562" max="2562" width="2.140625" style="34" customWidth="1"/>
    <col min="2563" max="2563" width="23.5703125" style="34" customWidth="1"/>
    <col min="2564" max="2564" width="26.85546875" style="34" customWidth="1"/>
    <col min="2565" max="2565" width="16.140625" style="34" customWidth="1"/>
    <col min="2566" max="2566" width="15.42578125" style="34" customWidth="1"/>
    <col min="2567" max="2567" width="2.140625" style="34" customWidth="1"/>
    <col min="2568" max="2568" width="14" style="34" customWidth="1"/>
    <col min="2569" max="2569" width="2.140625" style="34" customWidth="1"/>
    <col min="2570" max="2570" width="15.42578125" style="34" customWidth="1"/>
    <col min="2571" max="2816" width="9.140625" style="34"/>
    <col min="2817" max="2817" width="13.85546875" style="34" customWidth="1"/>
    <col min="2818" max="2818" width="2.140625" style="34" customWidth="1"/>
    <col min="2819" max="2819" width="23.5703125" style="34" customWidth="1"/>
    <col min="2820" max="2820" width="26.85546875" style="34" customWidth="1"/>
    <col min="2821" max="2821" width="16.140625" style="34" customWidth="1"/>
    <col min="2822" max="2822" width="15.42578125" style="34" customWidth="1"/>
    <col min="2823" max="2823" width="2.140625" style="34" customWidth="1"/>
    <col min="2824" max="2824" width="14" style="34" customWidth="1"/>
    <col min="2825" max="2825" width="2.140625" style="34" customWidth="1"/>
    <col min="2826" max="2826" width="15.42578125" style="34" customWidth="1"/>
    <col min="2827" max="3072" width="9.140625" style="34"/>
    <col min="3073" max="3073" width="13.85546875" style="34" customWidth="1"/>
    <col min="3074" max="3074" width="2.140625" style="34" customWidth="1"/>
    <col min="3075" max="3075" width="23.5703125" style="34" customWidth="1"/>
    <col min="3076" max="3076" width="26.85546875" style="34" customWidth="1"/>
    <col min="3077" max="3077" width="16.140625" style="34" customWidth="1"/>
    <col min="3078" max="3078" width="15.42578125" style="34" customWidth="1"/>
    <col min="3079" max="3079" width="2.140625" style="34" customWidth="1"/>
    <col min="3080" max="3080" width="14" style="34" customWidth="1"/>
    <col min="3081" max="3081" width="2.140625" style="34" customWidth="1"/>
    <col min="3082" max="3082" width="15.42578125" style="34" customWidth="1"/>
    <col min="3083" max="3328" width="9.140625" style="34"/>
    <col min="3329" max="3329" width="13.85546875" style="34" customWidth="1"/>
    <col min="3330" max="3330" width="2.140625" style="34" customWidth="1"/>
    <col min="3331" max="3331" width="23.5703125" style="34" customWidth="1"/>
    <col min="3332" max="3332" width="26.85546875" style="34" customWidth="1"/>
    <col min="3333" max="3333" width="16.140625" style="34" customWidth="1"/>
    <col min="3334" max="3334" width="15.42578125" style="34" customWidth="1"/>
    <col min="3335" max="3335" width="2.140625" style="34" customWidth="1"/>
    <col min="3336" max="3336" width="14" style="34" customWidth="1"/>
    <col min="3337" max="3337" width="2.140625" style="34" customWidth="1"/>
    <col min="3338" max="3338" width="15.42578125" style="34" customWidth="1"/>
    <col min="3339" max="3584" width="9.140625" style="34"/>
    <col min="3585" max="3585" width="13.85546875" style="34" customWidth="1"/>
    <col min="3586" max="3586" width="2.140625" style="34" customWidth="1"/>
    <col min="3587" max="3587" width="23.5703125" style="34" customWidth="1"/>
    <col min="3588" max="3588" width="26.85546875" style="34" customWidth="1"/>
    <col min="3589" max="3589" width="16.140625" style="34" customWidth="1"/>
    <col min="3590" max="3590" width="15.42578125" style="34" customWidth="1"/>
    <col min="3591" max="3591" width="2.140625" style="34" customWidth="1"/>
    <col min="3592" max="3592" width="14" style="34" customWidth="1"/>
    <col min="3593" max="3593" width="2.140625" style="34" customWidth="1"/>
    <col min="3594" max="3594" width="15.42578125" style="34" customWidth="1"/>
    <col min="3595" max="3840" width="9.140625" style="34"/>
    <col min="3841" max="3841" width="13.85546875" style="34" customWidth="1"/>
    <col min="3842" max="3842" width="2.140625" style="34" customWidth="1"/>
    <col min="3843" max="3843" width="23.5703125" style="34" customWidth="1"/>
    <col min="3844" max="3844" width="26.85546875" style="34" customWidth="1"/>
    <col min="3845" max="3845" width="16.140625" style="34" customWidth="1"/>
    <col min="3846" max="3846" width="15.42578125" style="34" customWidth="1"/>
    <col min="3847" max="3847" width="2.140625" style="34" customWidth="1"/>
    <col min="3848" max="3848" width="14" style="34" customWidth="1"/>
    <col min="3849" max="3849" width="2.140625" style="34" customWidth="1"/>
    <col min="3850" max="3850" width="15.42578125" style="34" customWidth="1"/>
    <col min="3851" max="4096" width="9.140625" style="34"/>
    <col min="4097" max="4097" width="13.85546875" style="34" customWidth="1"/>
    <col min="4098" max="4098" width="2.140625" style="34" customWidth="1"/>
    <col min="4099" max="4099" width="23.5703125" style="34" customWidth="1"/>
    <col min="4100" max="4100" width="26.85546875" style="34" customWidth="1"/>
    <col min="4101" max="4101" width="16.140625" style="34" customWidth="1"/>
    <col min="4102" max="4102" width="15.42578125" style="34" customWidth="1"/>
    <col min="4103" max="4103" width="2.140625" style="34" customWidth="1"/>
    <col min="4104" max="4104" width="14" style="34" customWidth="1"/>
    <col min="4105" max="4105" width="2.140625" style="34" customWidth="1"/>
    <col min="4106" max="4106" width="15.42578125" style="34" customWidth="1"/>
    <col min="4107" max="4352" width="9.140625" style="34"/>
    <col min="4353" max="4353" width="13.85546875" style="34" customWidth="1"/>
    <col min="4354" max="4354" width="2.140625" style="34" customWidth="1"/>
    <col min="4355" max="4355" width="23.5703125" style="34" customWidth="1"/>
    <col min="4356" max="4356" width="26.85546875" style="34" customWidth="1"/>
    <col min="4357" max="4357" width="16.140625" style="34" customWidth="1"/>
    <col min="4358" max="4358" width="15.42578125" style="34" customWidth="1"/>
    <col min="4359" max="4359" width="2.140625" style="34" customWidth="1"/>
    <col min="4360" max="4360" width="14" style="34" customWidth="1"/>
    <col min="4361" max="4361" width="2.140625" style="34" customWidth="1"/>
    <col min="4362" max="4362" width="15.42578125" style="34" customWidth="1"/>
    <col min="4363" max="4608" width="9.140625" style="34"/>
    <col min="4609" max="4609" width="13.85546875" style="34" customWidth="1"/>
    <col min="4610" max="4610" width="2.140625" style="34" customWidth="1"/>
    <col min="4611" max="4611" width="23.5703125" style="34" customWidth="1"/>
    <col min="4612" max="4612" width="26.85546875" style="34" customWidth="1"/>
    <col min="4613" max="4613" width="16.140625" style="34" customWidth="1"/>
    <col min="4614" max="4614" width="15.42578125" style="34" customWidth="1"/>
    <col min="4615" max="4615" width="2.140625" style="34" customWidth="1"/>
    <col min="4616" max="4616" width="14" style="34" customWidth="1"/>
    <col min="4617" max="4617" width="2.140625" style="34" customWidth="1"/>
    <col min="4618" max="4618" width="15.42578125" style="34" customWidth="1"/>
    <col min="4619" max="4864" width="9.140625" style="34"/>
    <col min="4865" max="4865" width="13.85546875" style="34" customWidth="1"/>
    <col min="4866" max="4866" width="2.140625" style="34" customWidth="1"/>
    <col min="4867" max="4867" width="23.5703125" style="34" customWidth="1"/>
    <col min="4868" max="4868" width="26.85546875" style="34" customWidth="1"/>
    <col min="4869" max="4869" width="16.140625" style="34" customWidth="1"/>
    <col min="4870" max="4870" width="15.42578125" style="34" customWidth="1"/>
    <col min="4871" max="4871" width="2.140625" style="34" customWidth="1"/>
    <col min="4872" max="4872" width="14" style="34" customWidth="1"/>
    <col min="4873" max="4873" width="2.140625" style="34" customWidth="1"/>
    <col min="4874" max="4874" width="15.42578125" style="34" customWidth="1"/>
    <col min="4875" max="5120" width="9.140625" style="34"/>
    <col min="5121" max="5121" width="13.85546875" style="34" customWidth="1"/>
    <col min="5122" max="5122" width="2.140625" style="34" customWidth="1"/>
    <col min="5123" max="5123" width="23.5703125" style="34" customWidth="1"/>
    <col min="5124" max="5124" width="26.85546875" style="34" customWidth="1"/>
    <col min="5125" max="5125" width="16.140625" style="34" customWidth="1"/>
    <col min="5126" max="5126" width="15.42578125" style="34" customWidth="1"/>
    <col min="5127" max="5127" width="2.140625" style="34" customWidth="1"/>
    <col min="5128" max="5128" width="14" style="34" customWidth="1"/>
    <col min="5129" max="5129" width="2.140625" style="34" customWidth="1"/>
    <col min="5130" max="5130" width="15.42578125" style="34" customWidth="1"/>
    <col min="5131" max="5376" width="9.140625" style="34"/>
    <col min="5377" max="5377" width="13.85546875" style="34" customWidth="1"/>
    <col min="5378" max="5378" width="2.140625" style="34" customWidth="1"/>
    <col min="5379" max="5379" width="23.5703125" style="34" customWidth="1"/>
    <col min="5380" max="5380" width="26.85546875" style="34" customWidth="1"/>
    <col min="5381" max="5381" width="16.140625" style="34" customWidth="1"/>
    <col min="5382" max="5382" width="15.42578125" style="34" customWidth="1"/>
    <col min="5383" max="5383" width="2.140625" style="34" customWidth="1"/>
    <col min="5384" max="5384" width="14" style="34" customWidth="1"/>
    <col min="5385" max="5385" width="2.140625" style="34" customWidth="1"/>
    <col min="5386" max="5386" width="15.42578125" style="34" customWidth="1"/>
    <col min="5387" max="5632" width="9.140625" style="34"/>
    <col min="5633" max="5633" width="13.85546875" style="34" customWidth="1"/>
    <col min="5634" max="5634" width="2.140625" style="34" customWidth="1"/>
    <col min="5635" max="5635" width="23.5703125" style="34" customWidth="1"/>
    <col min="5636" max="5636" width="26.85546875" style="34" customWidth="1"/>
    <col min="5637" max="5637" width="16.140625" style="34" customWidth="1"/>
    <col min="5638" max="5638" width="15.42578125" style="34" customWidth="1"/>
    <col min="5639" max="5639" width="2.140625" style="34" customWidth="1"/>
    <col min="5640" max="5640" width="14" style="34" customWidth="1"/>
    <col min="5641" max="5641" width="2.140625" style="34" customWidth="1"/>
    <col min="5642" max="5642" width="15.42578125" style="34" customWidth="1"/>
    <col min="5643" max="5888" width="9.140625" style="34"/>
    <col min="5889" max="5889" width="13.85546875" style="34" customWidth="1"/>
    <col min="5890" max="5890" width="2.140625" style="34" customWidth="1"/>
    <col min="5891" max="5891" width="23.5703125" style="34" customWidth="1"/>
    <col min="5892" max="5892" width="26.85546875" style="34" customWidth="1"/>
    <col min="5893" max="5893" width="16.140625" style="34" customWidth="1"/>
    <col min="5894" max="5894" width="15.42578125" style="34" customWidth="1"/>
    <col min="5895" max="5895" width="2.140625" style="34" customWidth="1"/>
    <col min="5896" max="5896" width="14" style="34" customWidth="1"/>
    <col min="5897" max="5897" width="2.140625" style="34" customWidth="1"/>
    <col min="5898" max="5898" width="15.42578125" style="34" customWidth="1"/>
    <col min="5899" max="6144" width="9.140625" style="34"/>
    <col min="6145" max="6145" width="13.85546875" style="34" customWidth="1"/>
    <col min="6146" max="6146" width="2.140625" style="34" customWidth="1"/>
    <col min="6147" max="6147" width="23.5703125" style="34" customWidth="1"/>
    <col min="6148" max="6148" width="26.85546875" style="34" customWidth="1"/>
    <col min="6149" max="6149" width="16.140625" style="34" customWidth="1"/>
    <col min="6150" max="6150" width="15.42578125" style="34" customWidth="1"/>
    <col min="6151" max="6151" width="2.140625" style="34" customWidth="1"/>
    <col min="6152" max="6152" width="14" style="34" customWidth="1"/>
    <col min="6153" max="6153" width="2.140625" style="34" customWidth="1"/>
    <col min="6154" max="6154" width="15.42578125" style="34" customWidth="1"/>
    <col min="6155" max="6400" width="9.140625" style="34"/>
    <col min="6401" max="6401" width="13.85546875" style="34" customWidth="1"/>
    <col min="6402" max="6402" width="2.140625" style="34" customWidth="1"/>
    <col min="6403" max="6403" width="23.5703125" style="34" customWidth="1"/>
    <col min="6404" max="6404" width="26.85546875" style="34" customWidth="1"/>
    <col min="6405" max="6405" width="16.140625" style="34" customWidth="1"/>
    <col min="6406" max="6406" width="15.42578125" style="34" customWidth="1"/>
    <col min="6407" max="6407" width="2.140625" style="34" customWidth="1"/>
    <col min="6408" max="6408" width="14" style="34" customWidth="1"/>
    <col min="6409" max="6409" width="2.140625" style="34" customWidth="1"/>
    <col min="6410" max="6410" width="15.42578125" style="34" customWidth="1"/>
    <col min="6411" max="6656" width="9.140625" style="34"/>
    <col min="6657" max="6657" width="13.85546875" style="34" customWidth="1"/>
    <col min="6658" max="6658" width="2.140625" style="34" customWidth="1"/>
    <col min="6659" max="6659" width="23.5703125" style="34" customWidth="1"/>
    <col min="6660" max="6660" width="26.85546875" style="34" customWidth="1"/>
    <col min="6661" max="6661" width="16.140625" style="34" customWidth="1"/>
    <col min="6662" max="6662" width="15.42578125" style="34" customWidth="1"/>
    <col min="6663" max="6663" width="2.140625" style="34" customWidth="1"/>
    <col min="6664" max="6664" width="14" style="34" customWidth="1"/>
    <col min="6665" max="6665" width="2.140625" style="34" customWidth="1"/>
    <col min="6666" max="6666" width="15.42578125" style="34" customWidth="1"/>
    <col min="6667" max="6912" width="9.140625" style="34"/>
    <col min="6913" max="6913" width="13.85546875" style="34" customWidth="1"/>
    <col min="6914" max="6914" width="2.140625" style="34" customWidth="1"/>
    <col min="6915" max="6915" width="23.5703125" style="34" customWidth="1"/>
    <col min="6916" max="6916" width="26.85546875" style="34" customWidth="1"/>
    <col min="6917" max="6917" width="16.140625" style="34" customWidth="1"/>
    <col min="6918" max="6918" width="15.42578125" style="34" customWidth="1"/>
    <col min="6919" max="6919" width="2.140625" style="34" customWidth="1"/>
    <col min="6920" max="6920" width="14" style="34" customWidth="1"/>
    <col min="6921" max="6921" width="2.140625" style="34" customWidth="1"/>
    <col min="6922" max="6922" width="15.42578125" style="34" customWidth="1"/>
    <col min="6923" max="7168" width="9.140625" style="34"/>
    <col min="7169" max="7169" width="13.85546875" style="34" customWidth="1"/>
    <col min="7170" max="7170" width="2.140625" style="34" customWidth="1"/>
    <col min="7171" max="7171" width="23.5703125" style="34" customWidth="1"/>
    <col min="7172" max="7172" width="26.85546875" style="34" customWidth="1"/>
    <col min="7173" max="7173" width="16.140625" style="34" customWidth="1"/>
    <col min="7174" max="7174" width="15.42578125" style="34" customWidth="1"/>
    <col min="7175" max="7175" width="2.140625" style="34" customWidth="1"/>
    <col min="7176" max="7176" width="14" style="34" customWidth="1"/>
    <col min="7177" max="7177" width="2.140625" style="34" customWidth="1"/>
    <col min="7178" max="7178" width="15.42578125" style="34" customWidth="1"/>
    <col min="7179" max="7424" width="9.140625" style="34"/>
    <col min="7425" max="7425" width="13.85546875" style="34" customWidth="1"/>
    <col min="7426" max="7426" width="2.140625" style="34" customWidth="1"/>
    <col min="7427" max="7427" width="23.5703125" style="34" customWidth="1"/>
    <col min="7428" max="7428" width="26.85546875" style="34" customWidth="1"/>
    <col min="7429" max="7429" width="16.140625" style="34" customWidth="1"/>
    <col min="7430" max="7430" width="15.42578125" style="34" customWidth="1"/>
    <col min="7431" max="7431" width="2.140625" style="34" customWidth="1"/>
    <col min="7432" max="7432" width="14" style="34" customWidth="1"/>
    <col min="7433" max="7433" width="2.140625" style="34" customWidth="1"/>
    <col min="7434" max="7434" width="15.42578125" style="34" customWidth="1"/>
    <col min="7435" max="7680" width="9.140625" style="34"/>
    <col min="7681" max="7681" width="13.85546875" style="34" customWidth="1"/>
    <col min="7682" max="7682" width="2.140625" style="34" customWidth="1"/>
    <col min="7683" max="7683" width="23.5703125" style="34" customWidth="1"/>
    <col min="7684" max="7684" width="26.85546875" style="34" customWidth="1"/>
    <col min="7685" max="7685" width="16.140625" style="34" customWidth="1"/>
    <col min="7686" max="7686" width="15.42578125" style="34" customWidth="1"/>
    <col min="7687" max="7687" width="2.140625" style="34" customWidth="1"/>
    <col min="7688" max="7688" width="14" style="34" customWidth="1"/>
    <col min="7689" max="7689" width="2.140625" style="34" customWidth="1"/>
    <col min="7690" max="7690" width="15.42578125" style="34" customWidth="1"/>
    <col min="7691" max="7936" width="9.140625" style="34"/>
    <col min="7937" max="7937" width="13.85546875" style="34" customWidth="1"/>
    <col min="7938" max="7938" width="2.140625" style="34" customWidth="1"/>
    <col min="7939" max="7939" width="23.5703125" style="34" customWidth="1"/>
    <col min="7940" max="7940" width="26.85546875" style="34" customWidth="1"/>
    <col min="7941" max="7941" width="16.140625" style="34" customWidth="1"/>
    <col min="7942" max="7942" width="15.42578125" style="34" customWidth="1"/>
    <col min="7943" max="7943" width="2.140625" style="34" customWidth="1"/>
    <col min="7944" max="7944" width="14" style="34" customWidth="1"/>
    <col min="7945" max="7945" width="2.140625" style="34" customWidth="1"/>
    <col min="7946" max="7946" width="15.42578125" style="34" customWidth="1"/>
    <col min="7947" max="8192" width="9.140625" style="34"/>
    <col min="8193" max="8193" width="13.85546875" style="34" customWidth="1"/>
    <col min="8194" max="8194" width="2.140625" style="34" customWidth="1"/>
    <col min="8195" max="8195" width="23.5703125" style="34" customWidth="1"/>
    <col min="8196" max="8196" width="26.85546875" style="34" customWidth="1"/>
    <col min="8197" max="8197" width="16.140625" style="34" customWidth="1"/>
    <col min="8198" max="8198" width="15.42578125" style="34" customWidth="1"/>
    <col min="8199" max="8199" width="2.140625" style="34" customWidth="1"/>
    <col min="8200" max="8200" width="14" style="34" customWidth="1"/>
    <col min="8201" max="8201" width="2.140625" style="34" customWidth="1"/>
    <col min="8202" max="8202" width="15.42578125" style="34" customWidth="1"/>
    <col min="8203" max="8448" width="9.140625" style="34"/>
    <col min="8449" max="8449" width="13.85546875" style="34" customWidth="1"/>
    <col min="8450" max="8450" width="2.140625" style="34" customWidth="1"/>
    <col min="8451" max="8451" width="23.5703125" style="34" customWidth="1"/>
    <col min="8452" max="8452" width="26.85546875" style="34" customWidth="1"/>
    <col min="8453" max="8453" width="16.140625" style="34" customWidth="1"/>
    <col min="8454" max="8454" width="15.42578125" style="34" customWidth="1"/>
    <col min="8455" max="8455" width="2.140625" style="34" customWidth="1"/>
    <col min="8456" max="8456" width="14" style="34" customWidth="1"/>
    <col min="8457" max="8457" width="2.140625" style="34" customWidth="1"/>
    <col min="8458" max="8458" width="15.42578125" style="34" customWidth="1"/>
    <col min="8459" max="8704" width="9.140625" style="34"/>
    <col min="8705" max="8705" width="13.85546875" style="34" customWidth="1"/>
    <col min="8706" max="8706" width="2.140625" style="34" customWidth="1"/>
    <col min="8707" max="8707" width="23.5703125" style="34" customWidth="1"/>
    <col min="8708" max="8708" width="26.85546875" style="34" customWidth="1"/>
    <col min="8709" max="8709" width="16.140625" style="34" customWidth="1"/>
    <col min="8710" max="8710" width="15.42578125" style="34" customWidth="1"/>
    <col min="8711" max="8711" width="2.140625" style="34" customWidth="1"/>
    <col min="8712" max="8712" width="14" style="34" customWidth="1"/>
    <col min="8713" max="8713" width="2.140625" style="34" customWidth="1"/>
    <col min="8714" max="8714" width="15.42578125" style="34" customWidth="1"/>
    <col min="8715" max="8960" width="9.140625" style="34"/>
    <col min="8961" max="8961" width="13.85546875" style="34" customWidth="1"/>
    <col min="8962" max="8962" width="2.140625" style="34" customWidth="1"/>
    <col min="8963" max="8963" width="23.5703125" style="34" customWidth="1"/>
    <col min="8964" max="8964" width="26.85546875" style="34" customWidth="1"/>
    <col min="8965" max="8965" width="16.140625" style="34" customWidth="1"/>
    <col min="8966" max="8966" width="15.42578125" style="34" customWidth="1"/>
    <col min="8967" max="8967" width="2.140625" style="34" customWidth="1"/>
    <col min="8968" max="8968" width="14" style="34" customWidth="1"/>
    <col min="8969" max="8969" width="2.140625" style="34" customWidth="1"/>
    <col min="8970" max="8970" width="15.42578125" style="34" customWidth="1"/>
    <col min="8971" max="9216" width="9.140625" style="34"/>
    <col min="9217" max="9217" width="13.85546875" style="34" customWidth="1"/>
    <col min="9218" max="9218" width="2.140625" style="34" customWidth="1"/>
    <col min="9219" max="9219" width="23.5703125" style="34" customWidth="1"/>
    <col min="9220" max="9220" width="26.85546875" style="34" customWidth="1"/>
    <col min="9221" max="9221" width="16.140625" style="34" customWidth="1"/>
    <col min="9222" max="9222" width="15.42578125" style="34" customWidth="1"/>
    <col min="9223" max="9223" width="2.140625" style="34" customWidth="1"/>
    <col min="9224" max="9224" width="14" style="34" customWidth="1"/>
    <col min="9225" max="9225" width="2.140625" style="34" customWidth="1"/>
    <col min="9226" max="9226" width="15.42578125" style="34" customWidth="1"/>
    <col min="9227" max="9472" width="9.140625" style="34"/>
    <col min="9473" max="9473" width="13.85546875" style="34" customWidth="1"/>
    <col min="9474" max="9474" width="2.140625" style="34" customWidth="1"/>
    <col min="9475" max="9475" width="23.5703125" style="34" customWidth="1"/>
    <col min="9476" max="9476" width="26.85546875" style="34" customWidth="1"/>
    <col min="9477" max="9477" width="16.140625" style="34" customWidth="1"/>
    <col min="9478" max="9478" width="15.42578125" style="34" customWidth="1"/>
    <col min="9479" max="9479" width="2.140625" style="34" customWidth="1"/>
    <col min="9480" max="9480" width="14" style="34" customWidth="1"/>
    <col min="9481" max="9481" width="2.140625" style="34" customWidth="1"/>
    <col min="9482" max="9482" width="15.42578125" style="34" customWidth="1"/>
    <col min="9483" max="9728" width="9.140625" style="34"/>
    <col min="9729" max="9729" width="13.85546875" style="34" customWidth="1"/>
    <col min="9730" max="9730" width="2.140625" style="34" customWidth="1"/>
    <col min="9731" max="9731" width="23.5703125" style="34" customWidth="1"/>
    <col min="9732" max="9732" width="26.85546875" style="34" customWidth="1"/>
    <col min="9733" max="9733" width="16.140625" style="34" customWidth="1"/>
    <col min="9734" max="9734" width="15.42578125" style="34" customWidth="1"/>
    <col min="9735" max="9735" width="2.140625" style="34" customWidth="1"/>
    <col min="9736" max="9736" width="14" style="34" customWidth="1"/>
    <col min="9737" max="9737" width="2.140625" style="34" customWidth="1"/>
    <col min="9738" max="9738" width="15.42578125" style="34" customWidth="1"/>
    <col min="9739" max="9984" width="9.140625" style="34"/>
    <col min="9985" max="9985" width="13.85546875" style="34" customWidth="1"/>
    <col min="9986" max="9986" width="2.140625" style="34" customWidth="1"/>
    <col min="9987" max="9987" width="23.5703125" style="34" customWidth="1"/>
    <col min="9988" max="9988" width="26.85546875" style="34" customWidth="1"/>
    <col min="9989" max="9989" width="16.140625" style="34" customWidth="1"/>
    <col min="9990" max="9990" width="15.42578125" style="34" customWidth="1"/>
    <col min="9991" max="9991" width="2.140625" style="34" customWidth="1"/>
    <col min="9992" max="9992" width="14" style="34" customWidth="1"/>
    <col min="9993" max="9993" width="2.140625" style="34" customWidth="1"/>
    <col min="9994" max="9994" width="15.42578125" style="34" customWidth="1"/>
    <col min="9995" max="10240" width="9.140625" style="34"/>
    <col min="10241" max="10241" width="13.85546875" style="34" customWidth="1"/>
    <col min="10242" max="10242" width="2.140625" style="34" customWidth="1"/>
    <col min="10243" max="10243" width="23.5703125" style="34" customWidth="1"/>
    <col min="10244" max="10244" width="26.85546875" style="34" customWidth="1"/>
    <col min="10245" max="10245" width="16.140625" style="34" customWidth="1"/>
    <col min="10246" max="10246" width="15.42578125" style="34" customWidth="1"/>
    <col min="10247" max="10247" width="2.140625" style="34" customWidth="1"/>
    <col min="10248" max="10248" width="14" style="34" customWidth="1"/>
    <col min="10249" max="10249" width="2.140625" style="34" customWidth="1"/>
    <col min="10250" max="10250" width="15.42578125" style="34" customWidth="1"/>
    <col min="10251" max="10496" width="9.140625" style="34"/>
    <col min="10497" max="10497" width="13.85546875" style="34" customWidth="1"/>
    <col min="10498" max="10498" width="2.140625" style="34" customWidth="1"/>
    <col min="10499" max="10499" width="23.5703125" style="34" customWidth="1"/>
    <col min="10500" max="10500" width="26.85546875" style="34" customWidth="1"/>
    <col min="10501" max="10501" width="16.140625" style="34" customWidth="1"/>
    <col min="10502" max="10502" width="15.42578125" style="34" customWidth="1"/>
    <col min="10503" max="10503" width="2.140625" style="34" customWidth="1"/>
    <col min="10504" max="10504" width="14" style="34" customWidth="1"/>
    <col min="10505" max="10505" width="2.140625" style="34" customWidth="1"/>
    <col min="10506" max="10506" width="15.42578125" style="34" customWidth="1"/>
    <col min="10507" max="10752" width="9.140625" style="34"/>
    <col min="10753" max="10753" width="13.85546875" style="34" customWidth="1"/>
    <col min="10754" max="10754" width="2.140625" style="34" customWidth="1"/>
    <col min="10755" max="10755" width="23.5703125" style="34" customWidth="1"/>
    <col min="10756" max="10756" width="26.85546875" style="34" customWidth="1"/>
    <col min="10757" max="10757" width="16.140625" style="34" customWidth="1"/>
    <col min="10758" max="10758" width="15.42578125" style="34" customWidth="1"/>
    <col min="10759" max="10759" width="2.140625" style="34" customWidth="1"/>
    <col min="10760" max="10760" width="14" style="34" customWidth="1"/>
    <col min="10761" max="10761" width="2.140625" style="34" customWidth="1"/>
    <col min="10762" max="10762" width="15.42578125" style="34" customWidth="1"/>
    <col min="10763" max="11008" width="9.140625" style="34"/>
    <col min="11009" max="11009" width="13.85546875" style="34" customWidth="1"/>
    <col min="11010" max="11010" width="2.140625" style="34" customWidth="1"/>
    <col min="11011" max="11011" width="23.5703125" style="34" customWidth="1"/>
    <col min="11012" max="11012" width="26.85546875" style="34" customWidth="1"/>
    <col min="11013" max="11013" width="16.140625" style="34" customWidth="1"/>
    <col min="11014" max="11014" width="15.42578125" style="34" customWidth="1"/>
    <col min="11015" max="11015" width="2.140625" style="34" customWidth="1"/>
    <col min="11016" max="11016" width="14" style="34" customWidth="1"/>
    <col min="11017" max="11017" width="2.140625" style="34" customWidth="1"/>
    <col min="11018" max="11018" width="15.42578125" style="34" customWidth="1"/>
    <col min="11019" max="11264" width="9.140625" style="34"/>
    <col min="11265" max="11265" width="13.85546875" style="34" customWidth="1"/>
    <col min="11266" max="11266" width="2.140625" style="34" customWidth="1"/>
    <col min="11267" max="11267" width="23.5703125" style="34" customWidth="1"/>
    <col min="11268" max="11268" width="26.85546875" style="34" customWidth="1"/>
    <col min="11269" max="11269" width="16.140625" style="34" customWidth="1"/>
    <col min="11270" max="11270" width="15.42578125" style="34" customWidth="1"/>
    <col min="11271" max="11271" width="2.140625" style="34" customWidth="1"/>
    <col min="11272" max="11272" width="14" style="34" customWidth="1"/>
    <col min="11273" max="11273" width="2.140625" style="34" customWidth="1"/>
    <col min="11274" max="11274" width="15.42578125" style="34" customWidth="1"/>
    <col min="11275" max="11520" width="9.140625" style="34"/>
    <col min="11521" max="11521" width="13.85546875" style="34" customWidth="1"/>
    <col min="11522" max="11522" width="2.140625" style="34" customWidth="1"/>
    <col min="11523" max="11523" width="23.5703125" style="34" customWidth="1"/>
    <col min="11524" max="11524" width="26.85546875" style="34" customWidth="1"/>
    <col min="11525" max="11525" width="16.140625" style="34" customWidth="1"/>
    <col min="11526" max="11526" width="15.42578125" style="34" customWidth="1"/>
    <col min="11527" max="11527" width="2.140625" style="34" customWidth="1"/>
    <col min="11528" max="11528" width="14" style="34" customWidth="1"/>
    <col min="11529" max="11529" width="2.140625" style="34" customWidth="1"/>
    <col min="11530" max="11530" width="15.42578125" style="34" customWidth="1"/>
    <col min="11531" max="11776" width="9.140625" style="34"/>
    <col min="11777" max="11777" width="13.85546875" style="34" customWidth="1"/>
    <col min="11778" max="11778" width="2.140625" style="34" customWidth="1"/>
    <col min="11779" max="11779" width="23.5703125" style="34" customWidth="1"/>
    <col min="11780" max="11780" width="26.85546875" style="34" customWidth="1"/>
    <col min="11781" max="11781" width="16.140625" style="34" customWidth="1"/>
    <col min="11782" max="11782" width="15.42578125" style="34" customWidth="1"/>
    <col min="11783" max="11783" width="2.140625" style="34" customWidth="1"/>
    <col min="11784" max="11784" width="14" style="34" customWidth="1"/>
    <col min="11785" max="11785" width="2.140625" style="34" customWidth="1"/>
    <col min="11786" max="11786" width="15.42578125" style="34" customWidth="1"/>
    <col min="11787" max="12032" width="9.140625" style="34"/>
    <col min="12033" max="12033" width="13.85546875" style="34" customWidth="1"/>
    <col min="12034" max="12034" width="2.140625" style="34" customWidth="1"/>
    <col min="12035" max="12035" width="23.5703125" style="34" customWidth="1"/>
    <col min="12036" max="12036" width="26.85546875" style="34" customWidth="1"/>
    <col min="12037" max="12037" width="16.140625" style="34" customWidth="1"/>
    <col min="12038" max="12038" width="15.42578125" style="34" customWidth="1"/>
    <col min="12039" max="12039" width="2.140625" style="34" customWidth="1"/>
    <col min="12040" max="12040" width="14" style="34" customWidth="1"/>
    <col min="12041" max="12041" width="2.140625" style="34" customWidth="1"/>
    <col min="12042" max="12042" width="15.42578125" style="34" customWidth="1"/>
    <col min="12043" max="12288" width="9.140625" style="34"/>
    <col min="12289" max="12289" width="13.85546875" style="34" customWidth="1"/>
    <col min="12290" max="12290" width="2.140625" style="34" customWidth="1"/>
    <col min="12291" max="12291" width="23.5703125" style="34" customWidth="1"/>
    <col min="12292" max="12292" width="26.85546875" style="34" customWidth="1"/>
    <col min="12293" max="12293" width="16.140625" style="34" customWidth="1"/>
    <col min="12294" max="12294" width="15.42578125" style="34" customWidth="1"/>
    <col min="12295" max="12295" width="2.140625" style="34" customWidth="1"/>
    <col min="12296" max="12296" width="14" style="34" customWidth="1"/>
    <col min="12297" max="12297" width="2.140625" style="34" customWidth="1"/>
    <col min="12298" max="12298" width="15.42578125" style="34" customWidth="1"/>
    <col min="12299" max="12544" width="9.140625" style="34"/>
    <col min="12545" max="12545" width="13.85546875" style="34" customWidth="1"/>
    <col min="12546" max="12546" width="2.140625" style="34" customWidth="1"/>
    <col min="12547" max="12547" width="23.5703125" style="34" customWidth="1"/>
    <col min="12548" max="12548" width="26.85546875" style="34" customWidth="1"/>
    <col min="12549" max="12549" width="16.140625" style="34" customWidth="1"/>
    <col min="12550" max="12550" width="15.42578125" style="34" customWidth="1"/>
    <col min="12551" max="12551" width="2.140625" style="34" customWidth="1"/>
    <col min="12552" max="12552" width="14" style="34" customWidth="1"/>
    <col min="12553" max="12553" width="2.140625" style="34" customWidth="1"/>
    <col min="12554" max="12554" width="15.42578125" style="34" customWidth="1"/>
    <col min="12555" max="12800" width="9.140625" style="34"/>
    <col min="12801" max="12801" width="13.85546875" style="34" customWidth="1"/>
    <col min="12802" max="12802" width="2.140625" style="34" customWidth="1"/>
    <col min="12803" max="12803" width="23.5703125" style="34" customWidth="1"/>
    <col min="12804" max="12804" width="26.85546875" style="34" customWidth="1"/>
    <col min="12805" max="12805" width="16.140625" style="34" customWidth="1"/>
    <col min="12806" max="12806" width="15.42578125" style="34" customWidth="1"/>
    <col min="12807" max="12807" width="2.140625" style="34" customWidth="1"/>
    <col min="12808" max="12808" width="14" style="34" customWidth="1"/>
    <col min="12809" max="12809" width="2.140625" style="34" customWidth="1"/>
    <col min="12810" max="12810" width="15.42578125" style="34" customWidth="1"/>
    <col min="12811" max="13056" width="9.140625" style="34"/>
    <col min="13057" max="13057" width="13.85546875" style="34" customWidth="1"/>
    <col min="13058" max="13058" width="2.140625" style="34" customWidth="1"/>
    <col min="13059" max="13059" width="23.5703125" style="34" customWidth="1"/>
    <col min="13060" max="13060" width="26.85546875" style="34" customWidth="1"/>
    <col min="13061" max="13061" width="16.140625" style="34" customWidth="1"/>
    <col min="13062" max="13062" width="15.42578125" style="34" customWidth="1"/>
    <col min="13063" max="13063" width="2.140625" style="34" customWidth="1"/>
    <col min="13064" max="13064" width="14" style="34" customWidth="1"/>
    <col min="13065" max="13065" width="2.140625" style="34" customWidth="1"/>
    <col min="13066" max="13066" width="15.42578125" style="34" customWidth="1"/>
    <col min="13067" max="13312" width="9.140625" style="34"/>
    <col min="13313" max="13313" width="13.85546875" style="34" customWidth="1"/>
    <col min="13314" max="13314" width="2.140625" style="34" customWidth="1"/>
    <col min="13315" max="13315" width="23.5703125" style="34" customWidth="1"/>
    <col min="13316" max="13316" width="26.85546875" style="34" customWidth="1"/>
    <col min="13317" max="13317" width="16.140625" style="34" customWidth="1"/>
    <col min="13318" max="13318" width="15.42578125" style="34" customWidth="1"/>
    <col min="13319" max="13319" width="2.140625" style="34" customWidth="1"/>
    <col min="13320" max="13320" width="14" style="34" customWidth="1"/>
    <col min="13321" max="13321" width="2.140625" style="34" customWidth="1"/>
    <col min="13322" max="13322" width="15.42578125" style="34" customWidth="1"/>
    <col min="13323" max="13568" width="9.140625" style="34"/>
    <col min="13569" max="13569" width="13.85546875" style="34" customWidth="1"/>
    <col min="13570" max="13570" width="2.140625" style="34" customWidth="1"/>
    <col min="13571" max="13571" width="23.5703125" style="34" customWidth="1"/>
    <col min="13572" max="13572" width="26.85546875" style="34" customWidth="1"/>
    <col min="13573" max="13573" width="16.140625" style="34" customWidth="1"/>
    <col min="13574" max="13574" width="15.42578125" style="34" customWidth="1"/>
    <col min="13575" max="13575" width="2.140625" style="34" customWidth="1"/>
    <col min="13576" max="13576" width="14" style="34" customWidth="1"/>
    <col min="13577" max="13577" width="2.140625" style="34" customWidth="1"/>
    <col min="13578" max="13578" width="15.42578125" style="34" customWidth="1"/>
    <col min="13579" max="13824" width="9.140625" style="34"/>
    <col min="13825" max="13825" width="13.85546875" style="34" customWidth="1"/>
    <col min="13826" max="13826" width="2.140625" style="34" customWidth="1"/>
    <col min="13827" max="13827" width="23.5703125" style="34" customWidth="1"/>
    <col min="13828" max="13828" width="26.85546875" style="34" customWidth="1"/>
    <col min="13829" max="13829" width="16.140625" style="34" customWidth="1"/>
    <col min="13830" max="13830" width="15.42578125" style="34" customWidth="1"/>
    <col min="13831" max="13831" width="2.140625" style="34" customWidth="1"/>
    <col min="13832" max="13832" width="14" style="34" customWidth="1"/>
    <col min="13833" max="13833" width="2.140625" style="34" customWidth="1"/>
    <col min="13834" max="13834" width="15.42578125" style="34" customWidth="1"/>
    <col min="13835" max="14080" width="9.140625" style="34"/>
    <col min="14081" max="14081" width="13.85546875" style="34" customWidth="1"/>
    <col min="14082" max="14082" width="2.140625" style="34" customWidth="1"/>
    <col min="14083" max="14083" width="23.5703125" style="34" customWidth="1"/>
    <col min="14084" max="14084" width="26.85546875" style="34" customWidth="1"/>
    <col min="14085" max="14085" width="16.140625" style="34" customWidth="1"/>
    <col min="14086" max="14086" width="15.42578125" style="34" customWidth="1"/>
    <col min="14087" max="14087" width="2.140625" style="34" customWidth="1"/>
    <col min="14088" max="14088" width="14" style="34" customWidth="1"/>
    <col min="14089" max="14089" width="2.140625" style="34" customWidth="1"/>
    <col min="14090" max="14090" width="15.42578125" style="34" customWidth="1"/>
    <col min="14091" max="14336" width="9.140625" style="34"/>
    <col min="14337" max="14337" width="13.85546875" style="34" customWidth="1"/>
    <col min="14338" max="14338" width="2.140625" style="34" customWidth="1"/>
    <col min="14339" max="14339" width="23.5703125" style="34" customWidth="1"/>
    <col min="14340" max="14340" width="26.85546875" style="34" customWidth="1"/>
    <col min="14341" max="14341" width="16.140625" style="34" customWidth="1"/>
    <col min="14342" max="14342" width="15.42578125" style="34" customWidth="1"/>
    <col min="14343" max="14343" width="2.140625" style="34" customWidth="1"/>
    <col min="14344" max="14344" width="14" style="34" customWidth="1"/>
    <col min="14345" max="14345" width="2.140625" style="34" customWidth="1"/>
    <col min="14346" max="14346" width="15.42578125" style="34" customWidth="1"/>
    <col min="14347" max="14592" width="9.140625" style="34"/>
    <col min="14593" max="14593" width="13.85546875" style="34" customWidth="1"/>
    <col min="14594" max="14594" width="2.140625" style="34" customWidth="1"/>
    <col min="14595" max="14595" width="23.5703125" style="34" customWidth="1"/>
    <col min="14596" max="14596" width="26.85546875" style="34" customWidth="1"/>
    <col min="14597" max="14597" width="16.140625" style="34" customWidth="1"/>
    <col min="14598" max="14598" width="15.42578125" style="34" customWidth="1"/>
    <col min="14599" max="14599" width="2.140625" style="34" customWidth="1"/>
    <col min="14600" max="14600" width="14" style="34" customWidth="1"/>
    <col min="14601" max="14601" width="2.140625" style="34" customWidth="1"/>
    <col min="14602" max="14602" width="15.42578125" style="34" customWidth="1"/>
    <col min="14603" max="14848" width="9.140625" style="34"/>
    <col min="14849" max="14849" width="13.85546875" style="34" customWidth="1"/>
    <col min="14850" max="14850" width="2.140625" style="34" customWidth="1"/>
    <col min="14851" max="14851" width="23.5703125" style="34" customWidth="1"/>
    <col min="14852" max="14852" width="26.85546875" style="34" customWidth="1"/>
    <col min="14853" max="14853" width="16.140625" style="34" customWidth="1"/>
    <col min="14854" max="14854" width="15.42578125" style="34" customWidth="1"/>
    <col min="14855" max="14855" width="2.140625" style="34" customWidth="1"/>
    <col min="14856" max="14856" width="14" style="34" customWidth="1"/>
    <col min="14857" max="14857" width="2.140625" style="34" customWidth="1"/>
    <col min="14858" max="14858" width="15.42578125" style="34" customWidth="1"/>
    <col min="14859" max="15104" width="9.140625" style="34"/>
    <col min="15105" max="15105" width="13.85546875" style="34" customWidth="1"/>
    <col min="15106" max="15106" width="2.140625" style="34" customWidth="1"/>
    <col min="15107" max="15107" width="23.5703125" style="34" customWidth="1"/>
    <col min="15108" max="15108" width="26.85546875" style="34" customWidth="1"/>
    <col min="15109" max="15109" width="16.140625" style="34" customWidth="1"/>
    <col min="15110" max="15110" width="15.42578125" style="34" customWidth="1"/>
    <col min="15111" max="15111" width="2.140625" style="34" customWidth="1"/>
    <col min="15112" max="15112" width="14" style="34" customWidth="1"/>
    <col min="15113" max="15113" width="2.140625" style="34" customWidth="1"/>
    <col min="15114" max="15114" width="15.42578125" style="34" customWidth="1"/>
    <col min="15115" max="15360" width="9.140625" style="34"/>
    <col min="15361" max="15361" width="13.85546875" style="34" customWidth="1"/>
    <col min="15362" max="15362" width="2.140625" style="34" customWidth="1"/>
    <col min="15363" max="15363" width="23.5703125" style="34" customWidth="1"/>
    <col min="15364" max="15364" width="26.85546875" style="34" customWidth="1"/>
    <col min="15365" max="15365" width="16.140625" style="34" customWidth="1"/>
    <col min="15366" max="15366" width="15.42578125" style="34" customWidth="1"/>
    <col min="15367" max="15367" width="2.140625" style="34" customWidth="1"/>
    <col min="15368" max="15368" width="14" style="34" customWidth="1"/>
    <col min="15369" max="15369" width="2.140625" style="34" customWidth="1"/>
    <col min="15370" max="15370" width="15.42578125" style="34" customWidth="1"/>
    <col min="15371" max="15616" width="9.140625" style="34"/>
    <col min="15617" max="15617" width="13.85546875" style="34" customWidth="1"/>
    <col min="15618" max="15618" width="2.140625" style="34" customWidth="1"/>
    <col min="15619" max="15619" width="23.5703125" style="34" customWidth="1"/>
    <col min="15620" max="15620" width="26.85546875" style="34" customWidth="1"/>
    <col min="15621" max="15621" width="16.140625" style="34" customWidth="1"/>
    <col min="15622" max="15622" width="15.42578125" style="34" customWidth="1"/>
    <col min="15623" max="15623" width="2.140625" style="34" customWidth="1"/>
    <col min="15624" max="15624" width="14" style="34" customWidth="1"/>
    <col min="15625" max="15625" width="2.140625" style="34" customWidth="1"/>
    <col min="15626" max="15626" width="15.42578125" style="34" customWidth="1"/>
    <col min="15627" max="15872" width="9.140625" style="34"/>
    <col min="15873" max="15873" width="13.85546875" style="34" customWidth="1"/>
    <col min="15874" max="15874" width="2.140625" style="34" customWidth="1"/>
    <col min="15875" max="15875" width="23.5703125" style="34" customWidth="1"/>
    <col min="15876" max="15876" width="26.85546875" style="34" customWidth="1"/>
    <col min="15877" max="15877" width="16.140625" style="34" customWidth="1"/>
    <col min="15878" max="15878" width="15.42578125" style="34" customWidth="1"/>
    <col min="15879" max="15879" width="2.140625" style="34" customWidth="1"/>
    <col min="15880" max="15880" width="14" style="34" customWidth="1"/>
    <col min="15881" max="15881" width="2.140625" style="34" customWidth="1"/>
    <col min="15882" max="15882" width="15.42578125" style="34" customWidth="1"/>
    <col min="15883" max="16128" width="9.140625" style="34"/>
    <col min="16129" max="16129" width="13.85546875" style="34" customWidth="1"/>
    <col min="16130" max="16130" width="2.140625" style="34" customWidth="1"/>
    <col min="16131" max="16131" width="23.5703125" style="34" customWidth="1"/>
    <col min="16132" max="16132" width="26.85546875" style="34" customWidth="1"/>
    <col min="16133" max="16133" width="16.140625" style="34" customWidth="1"/>
    <col min="16134" max="16134" width="15.42578125" style="34" customWidth="1"/>
    <col min="16135" max="16135" width="2.140625" style="34" customWidth="1"/>
    <col min="16136" max="16136" width="14" style="34" customWidth="1"/>
    <col min="16137" max="16137" width="2.140625" style="34" customWidth="1"/>
    <col min="16138" max="16138" width="15.42578125" style="34" customWidth="1"/>
    <col min="16139" max="16384" width="9.140625" style="34"/>
  </cols>
  <sheetData>
    <row r="1" spans="1:10" ht="20.100000000000001" customHeight="1" x14ac:dyDescent="0.2">
      <c r="A1" s="99" t="s">
        <v>1424</v>
      </c>
      <c r="J1" s="100" t="s">
        <v>1738</v>
      </c>
    </row>
    <row r="2" spans="1:10" ht="15.95" customHeight="1" x14ac:dyDescent="0.2">
      <c r="A2" s="33" t="s">
        <v>1739</v>
      </c>
      <c r="C2" s="33" t="s">
        <v>0</v>
      </c>
      <c r="J2" s="27" t="s">
        <v>1740</v>
      </c>
    </row>
    <row r="3" spans="1:10" ht="14.1" customHeight="1" x14ac:dyDescent="0.2">
      <c r="A3" s="101" t="s">
        <v>1741</v>
      </c>
      <c r="J3" s="27" t="s">
        <v>1742</v>
      </c>
    </row>
    <row r="4" spans="1:10" ht="15" customHeight="1" x14ac:dyDescent="0.2">
      <c r="A4" s="101" t="s">
        <v>1743</v>
      </c>
    </row>
    <row r="5" spans="1:10" ht="23.1" customHeight="1" x14ac:dyDescent="0.2">
      <c r="A5" s="23" t="s">
        <v>55</v>
      </c>
      <c r="B5" s="23" t="s">
        <v>56</v>
      </c>
      <c r="E5" s="24" t="s">
        <v>57</v>
      </c>
      <c r="F5" s="24" t="s">
        <v>58</v>
      </c>
      <c r="H5" s="24" t="s">
        <v>59</v>
      </c>
      <c r="J5" s="24" t="s">
        <v>60</v>
      </c>
    </row>
    <row r="6" spans="1:10" ht="15.95" customHeight="1" x14ac:dyDescent="0.2">
      <c r="A6" s="33">
        <v>1</v>
      </c>
      <c r="B6" s="369" t="s">
        <v>62</v>
      </c>
      <c r="C6" s="370"/>
      <c r="D6" s="370"/>
      <c r="E6" s="27">
        <v>337159374.25999999</v>
      </c>
      <c r="F6" s="27">
        <v>113786961.08</v>
      </c>
      <c r="H6" s="27">
        <v>130134559.87</v>
      </c>
      <c r="J6" s="27">
        <v>320811775.47000003</v>
      </c>
    </row>
    <row r="7" spans="1:10" ht="15.95" customHeight="1" x14ac:dyDescent="0.2">
      <c r="A7" s="33">
        <v>11</v>
      </c>
      <c r="B7" s="369" t="s">
        <v>63</v>
      </c>
      <c r="C7" s="370"/>
      <c r="D7" s="370"/>
      <c r="E7" s="27">
        <v>10734651.66</v>
      </c>
      <c r="F7" s="27">
        <v>77509606.540000007</v>
      </c>
      <c r="H7" s="27">
        <v>79731898.75</v>
      </c>
      <c r="J7" s="27">
        <v>8512359.4499999993</v>
      </c>
    </row>
    <row r="8" spans="1:10" ht="15.95" customHeight="1" x14ac:dyDescent="0.2">
      <c r="A8" s="33">
        <v>111</v>
      </c>
      <c r="B8" s="369" t="s">
        <v>64</v>
      </c>
      <c r="C8" s="370"/>
      <c r="D8" s="370"/>
      <c r="E8" s="27">
        <v>3648964.03</v>
      </c>
      <c r="F8" s="27">
        <v>43479565.32</v>
      </c>
      <c r="H8" s="27">
        <v>45154180.170000002</v>
      </c>
      <c r="J8" s="27">
        <v>1974349.18</v>
      </c>
    </row>
    <row r="9" spans="1:10" ht="15.95" customHeight="1" x14ac:dyDescent="0.2">
      <c r="A9" s="33">
        <v>11101</v>
      </c>
      <c r="B9" s="369" t="s">
        <v>65</v>
      </c>
      <c r="C9" s="370"/>
      <c r="D9" s="370"/>
      <c r="E9" s="27">
        <v>157.93</v>
      </c>
      <c r="F9" s="27">
        <v>168251.51999999999</v>
      </c>
      <c r="H9" s="27">
        <v>164861.54</v>
      </c>
      <c r="J9" s="27">
        <v>3547.91</v>
      </c>
    </row>
    <row r="10" spans="1:10" ht="15.95" customHeight="1" x14ac:dyDescent="0.2">
      <c r="A10" s="33">
        <v>1110101</v>
      </c>
      <c r="B10" s="369" t="s">
        <v>66</v>
      </c>
      <c r="C10" s="370"/>
      <c r="D10" s="370"/>
      <c r="E10" s="27">
        <v>157.93</v>
      </c>
      <c r="F10" s="27">
        <v>168251.51999999999</v>
      </c>
      <c r="H10" s="27">
        <v>164861.54</v>
      </c>
      <c r="J10" s="27">
        <v>3547.91</v>
      </c>
    </row>
    <row r="11" spans="1:10" ht="15.95" customHeight="1" x14ac:dyDescent="0.2">
      <c r="A11" s="33" t="s">
        <v>67</v>
      </c>
      <c r="B11" s="369" t="s">
        <v>68</v>
      </c>
      <c r="C11" s="370"/>
      <c r="D11" s="370"/>
      <c r="E11" s="27">
        <v>157.93</v>
      </c>
      <c r="F11" s="27">
        <v>168251.51999999999</v>
      </c>
      <c r="H11" s="27">
        <v>164861.54</v>
      </c>
      <c r="J11" s="27">
        <v>3547.91</v>
      </c>
    </row>
    <row r="12" spans="1:10" ht="15.95" customHeight="1" x14ac:dyDescent="0.2">
      <c r="A12" s="33">
        <v>11102</v>
      </c>
      <c r="B12" s="369" t="s">
        <v>69</v>
      </c>
      <c r="C12" s="370"/>
      <c r="D12" s="370"/>
      <c r="E12" s="27">
        <v>0</v>
      </c>
      <c r="F12" s="27">
        <v>24123.82</v>
      </c>
      <c r="H12" s="27">
        <v>24123.82</v>
      </c>
      <c r="J12" s="27">
        <v>0</v>
      </c>
    </row>
    <row r="13" spans="1:10" ht="15.95" customHeight="1" x14ac:dyDescent="0.2">
      <c r="A13" s="33">
        <v>1110204</v>
      </c>
      <c r="B13" s="369" t="s">
        <v>70</v>
      </c>
      <c r="C13" s="370"/>
      <c r="D13" s="370"/>
      <c r="E13" s="27">
        <v>0</v>
      </c>
      <c r="F13" s="27">
        <v>24123.82</v>
      </c>
      <c r="H13" s="27">
        <v>24123.82</v>
      </c>
      <c r="J13" s="27">
        <v>0</v>
      </c>
    </row>
    <row r="14" spans="1:10" ht="15.95" customHeight="1" x14ac:dyDescent="0.2">
      <c r="A14" s="33" t="s">
        <v>1437</v>
      </c>
      <c r="B14" s="369" t="s">
        <v>1438</v>
      </c>
      <c r="C14" s="370"/>
      <c r="D14" s="370"/>
      <c r="E14" s="27">
        <v>0</v>
      </c>
      <c r="F14" s="27">
        <v>8000</v>
      </c>
      <c r="H14" s="27">
        <v>8000</v>
      </c>
      <c r="J14" s="27">
        <v>0</v>
      </c>
    </row>
    <row r="15" spans="1:10" ht="15.95" customHeight="1" x14ac:dyDescent="0.2">
      <c r="A15" s="33" t="s">
        <v>1439</v>
      </c>
      <c r="B15" s="369" t="s">
        <v>1440</v>
      </c>
      <c r="C15" s="370"/>
      <c r="D15" s="370"/>
      <c r="E15" s="27">
        <v>0</v>
      </c>
      <c r="F15" s="27">
        <v>12123.82</v>
      </c>
      <c r="H15" s="27">
        <v>12123.82</v>
      </c>
      <c r="J15" s="27">
        <v>0</v>
      </c>
    </row>
    <row r="16" spans="1:10" ht="15.95" customHeight="1" x14ac:dyDescent="0.2">
      <c r="A16" s="33" t="s">
        <v>71</v>
      </c>
      <c r="B16" s="369" t="s">
        <v>72</v>
      </c>
      <c r="C16" s="370"/>
      <c r="D16" s="370"/>
      <c r="E16" s="27">
        <v>0</v>
      </c>
      <c r="F16" s="27">
        <v>4000</v>
      </c>
      <c r="H16" s="27">
        <v>4000</v>
      </c>
      <c r="J16" s="27">
        <v>0</v>
      </c>
    </row>
    <row r="17" spans="1:10" ht="15.95" customHeight="1" x14ac:dyDescent="0.2">
      <c r="A17" s="33">
        <v>11103</v>
      </c>
      <c r="B17" s="369" t="s">
        <v>77</v>
      </c>
      <c r="C17" s="370"/>
      <c r="D17" s="370"/>
      <c r="E17" s="27">
        <v>423223.15</v>
      </c>
      <c r="F17" s="27">
        <v>36151094.359999999</v>
      </c>
      <c r="H17" s="27">
        <v>35631800.200000003</v>
      </c>
      <c r="J17" s="27">
        <v>942517.31</v>
      </c>
    </row>
    <row r="18" spans="1:10" ht="15.95" customHeight="1" x14ac:dyDescent="0.2">
      <c r="A18" s="33">
        <v>1110301</v>
      </c>
      <c r="B18" s="369" t="s">
        <v>78</v>
      </c>
      <c r="C18" s="370"/>
      <c r="D18" s="370"/>
      <c r="E18" s="27">
        <v>423223.15</v>
      </c>
      <c r="F18" s="27">
        <v>36151094.359999999</v>
      </c>
      <c r="H18" s="27">
        <v>35631800.200000003</v>
      </c>
      <c r="J18" s="27">
        <v>942517.31</v>
      </c>
    </row>
    <row r="19" spans="1:10" ht="15.95" customHeight="1" x14ac:dyDescent="0.2">
      <c r="A19" s="33" t="s">
        <v>79</v>
      </c>
      <c r="B19" s="369" t="s">
        <v>80</v>
      </c>
      <c r="C19" s="370"/>
      <c r="D19" s="370"/>
      <c r="E19" s="27">
        <v>423223.15</v>
      </c>
      <c r="F19" s="27">
        <v>36151094.359999999</v>
      </c>
      <c r="H19" s="27">
        <v>35631800.200000003</v>
      </c>
      <c r="J19" s="27">
        <v>942517.31</v>
      </c>
    </row>
    <row r="20" spans="1:10" ht="15.95" customHeight="1" x14ac:dyDescent="0.2">
      <c r="A20" s="33">
        <v>11104</v>
      </c>
      <c r="B20" s="369" t="s">
        <v>81</v>
      </c>
      <c r="C20" s="370"/>
      <c r="D20" s="370"/>
      <c r="E20" s="27">
        <v>977513.55</v>
      </c>
      <c r="F20" s="27">
        <v>3150739.75</v>
      </c>
      <c r="H20" s="27">
        <v>4127262.62</v>
      </c>
      <c r="J20" s="27">
        <v>990.68</v>
      </c>
    </row>
    <row r="21" spans="1:10" ht="15.95" customHeight="1" x14ac:dyDescent="0.2">
      <c r="A21" s="33">
        <v>1110401</v>
      </c>
      <c r="B21" s="369" t="s">
        <v>82</v>
      </c>
      <c r="C21" s="370"/>
      <c r="D21" s="370"/>
      <c r="E21" s="27">
        <v>977513.55</v>
      </c>
      <c r="F21" s="27">
        <v>3150739.75</v>
      </c>
      <c r="H21" s="27">
        <v>4127262.62</v>
      </c>
      <c r="J21" s="27">
        <v>990.68</v>
      </c>
    </row>
    <row r="22" spans="1:10" ht="15.95" customHeight="1" x14ac:dyDescent="0.2">
      <c r="A22" s="33" t="s">
        <v>83</v>
      </c>
      <c r="B22" s="369" t="s">
        <v>84</v>
      </c>
      <c r="C22" s="370"/>
      <c r="D22" s="370"/>
      <c r="E22" s="27">
        <v>977513.55</v>
      </c>
      <c r="F22" s="27">
        <v>3150739.75</v>
      </c>
      <c r="H22" s="27">
        <v>4127262.62</v>
      </c>
      <c r="J22" s="27">
        <v>990.68</v>
      </c>
    </row>
    <row r="23" spans="1:10" ht="15.95" customHeight="1" x14ac:dyDescent="0.2">
      <c r="A23" s="33">
        <v>11105</v>
      </c>
      <c r="B23" s="369" t="s">
        <v>85</v>
      </c>
      <c r="C23" s="370"/>
      <c r="D23" s="370"/>
      <c r="E23" s="27">
        <v>730.24</v>
      </c>
      <c r="F23" s="27">
        <v>22.12</v>
      </c>
      <c r="H23" s="27">
        <v>1.93</v>
      </c>
      <c r="J23" s="27">
        <v>750.43</v>
      </c>
    </row>
    <row r="24" spans="1:10" ht="15.95" customHeight="1" x14ac:dyDescent="0.2">
      <c r="A24" s="33">
        <v>1110501</v>
      </c>
      <c r="B24" s="369" t="s">
        <v>78</v>
      </c>
      <c r="C24" s="370"/>
      <c r="D24" s="370"/>
      <c r="E24" s="27">
        <v>730.24</v>
      </c>
      <c r="F24" s="27">
        <v>22.12</v>
      </c>
      <c r="H24" s="27">
        <v>1.93</v>
      </c>
      <c r="J24" s="27">
        <v>750.43</v>
      </c>
    </row>
    <row r="25" spans="1:10" ht="15.95" customHeight="1" x14ac:dyDescent="0.2">
      <c r="A25" s="33" t="s">
        <v>86</v>
      </c>
      <c r="B25" s="369" t="s">
        <v>87</v>
      </c>
      <c r="C25" s="370"/>
      <c r="D25" s="370"/>
      <c r="E25" s="27">
        <v>286.68</v>
      </c>
      <c r="F25" s="27">
        <v>8.65</v>
      </c>
      <c r="H25" s="27">
        <v>1.93</v>
      </c>
      <c r="J25" s="27">
        <v>293.39999999999998</v>
      </c>
    </row>
    <row r="26" spans="1:10" ht="15.95" customHeight="1" x14ac:dyDescent="0.2">
      <c r="A26" s="33" t="s">
        <v>88</v>
      </c>
      <c r="B26" s="369" t="s">
        <v>89</v>
      </c>
      <c r="C26" s="370"/>
      <c r="D26" s="370"/>
      <c r="E26" s="27">
        <v>443.56</v>
      </c>
      <c r="F26" s="27">
        <v>13.47</v>
      </c>
      <c r="H26" s="27">
        <v>0</v>
      </c>
      <c r="J26" s="27">
        <v>457.03</v>
      </c>
    </row>
    <row r="27" spans="1:10" ht="15.95" customHeight="1" x14ac:dyDescent="0.2">
      <c r="A27" s="33">
        <v>11106</v>
      </c>
      <c r="B27" s="369" t="s">
        <v>90</v>
      </c>
      <c r="C27" s="370"/>
      <c r="D27" s="370"/>
      <c r="E27" s="27">
        <v>2247339.16</v>
      </c>
      <c r="F27" s="27">
        <v>3985333.75</v>
      </c>
      <c r="H27" s="27">
        <v>5206130.0599999996</v>
      </c>
      <c r="J27" s="27">
        <v>1026542.85</v>
      </c>
    </row>
    <row r="28" spans="1:10" ht="15.95" customHeight="1" x14ac:dyDescent="0.2">
      <c r="A28" s="33">
        <v>1110601</v>
      </c>
      <c r="B28" s="369" t="s">
        <v>78</v>
      </c>
      <c r="C28" s="370"/>
      <c r="D28" s="370"/>
      <c r="E28" s="27">
        <v>2247339.16</v>
      </c>
      <c r="F28" s="27">
        <v>3985333.75</v>
      </c>
      <c r="H28" s="27">
        <v>5206130.0599999996</v>
      </c>
      <c r="J28" s="27">
        <v>1026542.85</v>
      </c>
    </row>
    <row r="29" spans="1:10" ht="15.95" customHeight="1" x14ac:dyDescent="0.2">
      <c r="A29" s="33" t="s">
        <v>91</v>
      </c>
      <c r="B29" s="369" t="s">
        <v>92</v>
      </c>
      <c r="C29" s="370"/>
      <c r="D29" s="370"/>
      <c r="E29" s="27">
        <v>0</v>
      </c>
      <c r="F29" s="27">
        <v>2557399.5</v>
      </c>
      <c r="H29" s="27">
        <v>2543961.98</v>
      </c>
      <c r="J29" s="27">
        <v>13437.52</v>
      </c>
    </row>
    <row r="30" spans="1:10" ht="15.95" customHeight="1" x14ac:dyDescent="0.2">
      <c r="A30" s="33" t="s">
        <v>93</v>
      </c>
      <c r="B30" s="369" t="s">
        <v>94</v>
      </c>
      <c r="C30" s="370"/>
      <c r="D30" s="370"/>
      <c r="E30" s="27">
        <v>2247339.16</v>
      </c>
      <c r="F30" s="27">
        <v>1427934.25</v>
      </c>
      <c r="H30" s="27">
        <v>2662168.08</v>
      </c>
      <c r="J30" s="27">
        <v>1013105.33</v>
      </c>
    </row>
    <row r="31" spans="1:10" ht="15.95" customHeight="1" x14ac:dyDescent="0.2">
      <c r="A31" s="33">
        <v>112</v>
      </c>
      <c r="B31" s="369" t="s">
        <v>95</v>
      </c>
      <c r="C31" s="370"/>
      <c r="D31" s="370"/>
      <c r="E31" s="27">
        <v>5502731.1399999997</v>
      </c>
      <c r="F31" s="27">
        <v>33134059.370000001</v>
      </c>
      <c r="H31" s="27">
        <v>34020596.159999996</v>
      </c>
      <c r="J31" s="27">
        <v>4616194.3499999996</v>
      </c>
    </row>
    <row r="32" spans="1:10" ht="15.95" customHeight="1" x14ac:dyDescent="0.2">
      <c r="A32" s="33">
        <v>11201</v>
      </c>
      <c r="B32" s="369" t="s">
        <v>96</v>
      </c>
      <c r="C32" s="370"/>
      <c r="D32" s="370"/>
      <c r="E32" s="27">
        <v>5138611.76</v>
      </c>
      <c r="F32" s="27">
        <v>31028289.43</v>
      </c>
      <c r="H32" s="27">
        <v>32253264.800000001</v>
      </c>
      <c r="J32" s="27">
        <v>3913636.39</v>
      </c>
    </row>
    <row r="33" spans="1:10" ht="15.95" customHeight="1" x14ac:dyDescent="0.2">
      <c r="A33" s="33">
        <v>1120101</v>
      </c>
      <c r="B33" s="369" t="s">
        <v>97</v>
      </c>
      <c r="C33" s="370"/>
      <c r="D33" s="370"/>
      <c r="E33" s="27">
        <v>5078246.1399999997</v>
      </c>
      <c r="F33" s="27">
        <v>31023430.73</v>
      </c>
      <c r="H33" s="27">
        <v>32247434.359999999</v>
      </c>
      <c r="J33" s="27">
        <v>3854242.51</v>
      </c>
    </row>
    <row r="34" spans="1:10" ht="15.95" customHeight="1" x14ac:dyDescent="0.2">
      <c r="A34" s="33" t="s">
        <v>98</v>
      </c>
      <c r="B34" s="369" t="s">
        <v>99</v>
      </c>
      <c r="C34" s="370"/>
      <c r="D34" s="370"/>
      <c r="E34" s="27">
        <v>5078246.1399999997</v>
      </c>
      <c r="F34" s="27">
        <v>31023430.73</v>
      </c>
      <c r="H34" s="27">
        <v>32247434.359999999</v>
      </c>
      <c r="J34" s="27">
        <v>3854242.51</v>
      </c>
    </row>
    <row r="35" spans="1:10" ht="15.95" customHeight="1" x14ac:dyDescent="0.2">
      <c r="A35" s="33">
        <v>1120102</v>
      </c>
      <c r="B35" s="369" t="s">
        <v>100</v>
      </c>
      <c r="C35" s="370"/>
      <c r="D35" s="370"/>
      <c r="E35" s="27">
        <v>60365.62</v>
      </c>
      <c r="F35" s="27">
        <v>4858.7</v>
      </c>
      <c r="H35" s="27">
        <v>5830.44</v>
      </c>
      <c r="J35" s="27">
        <v>59393.88</v>
      </c>
    </row>
    <row r="36" spans="1:10" ht="15.95" customHeight="1" x14ac:dyDescent="0.2">
      <c r="A36" s="33" t="s">
        <v>101</v>
      </c>
      <c r="B36" s="369" t="s">
        <v>102</v>
      </c>
      <c r="C36" s="370"/>
      <c r="D36" s="370"/>
      <c r="E36" s="27">
        <v>44032.56</v>
      </c>
      <c r="F36" s="27">
        <v>0</v>
      </c>
      <c r="H36" s="27">
        <v>0</v>
      </c>
      <c r="J36" s="27">
        <v>44032.56</v>
      </c>
    </row>
    <row r="37" spans="1:10" ht="15.95" customHeight="1" x14ac:dyDescent="0.2">
      <c r="A37" s="33" t="s">
        <v>103</v>
      </c>
      <c r="B37" s="369" t="s">
        <v>104</v>
      </c>
      <c r="C37" s="370"/>
      <c r="D37" s="370"/>
      <c r="E37" s="27">
        <v>4672.18</v>
      </c>
      <c r="F37" s="27">
        <v>0</v>
      </c>
      <c r="H37" s="27">
        <v>0</v>
      </c>
      <c r="J37" s="27">
        <v>4672.18</v>
      </c>
    </row>
    <row r="38" spans="1:10" ht="15.95" customHeight="1" x14ac:dyDescent="0.2">
      <c r="A38" s="33" t="s">
        <v>105</v>
      </c>
      <c r="B38" s="369" t="s">
        <v>106</v>
      </c>
      <c r="C38" s="370"/>
      <c r="D38" s="370"/>
      <c r="E38" s="27">
        <v>11660.88</v>
      </c>
      <c r="F38" s="27">
        <v>4858.7</v>
      </c>
      <c r="H38" s="27">
        <v>5830.44</v>
      </c>
      <c r="J38" s="27">
        <v>10689.14</v>
      </c>
    </row>
    <row r="39" spans="1:10" ht="15.95" customHeight="1" x14ac:dyDescent="0.2">
      <c r="A39" s="33">
        <v>11202</v>
      </c>
      <c r="B39" s="369" t="s">
        <v>115</v>
      </c>
      <c r="C39" s="370"/>
      <c r="D39" s="370"/>
      <c r="E39" s="27">
        <v>-401782.38</v>
      </c>
      <c r="F39" s="27">
        <v>178092.19</v>
      </c>
      <c r="H39" s="27">
        <v>114901.16</v>
      </c>
      <c r="J39" s="27">
        <v>-338591.35</v>
      </c>
    </row>
    <row r="40" spans="1:10" ht="15.95" customHeight="1" x14ac:dyDescent="0.2">
      <c r="A40" s="33">
        <v>1120201</v>
      </c>
      <c r="B40" s="369" t="s">
        <v>116</v>
      </c>
      <c r="C40" s="370"/>
      <c r="D40" s="370"/>
      <c r="E40" s="27">
        <v>-401782.38</v>
      </c>
      <c r="F40" s="27">
        <v>178092.19</v>
      </c>
      <c r="H40" s="27">
        <v>114901.16</v>
      </c>
      <c r="J40" s="27">
        <v>-338591.35</v>
      </c>
    </row>
    <row r="41" spans="1:10" ht="15.95" customHeight="1" x14ac:dyDescent="0.2">
      <c r="A41" s="33" t="s">
        <v>117</v>
      </c>
      <c r="B41" s="369" t="s">
        <v>118</v>
      </c>
      <c r="C41" s="370"/>
      <c r="D41" s="370"/>
      <c r="E41" s="27">
        <v>-401782.38</v>
      </c>
      <c r="F41" s="27">
        <v>178092.19</v>
      </c>
      <c r="H41" s="27">
        <v>114901.16</v>
      </c>
      <c r="J41" s="27">
        <v>-338591.35</v>
      </c>
    </row>
    <row r="42" spans="1:10" ht="15.95" customHeight="1" x14ac:dyDescent="0.2">
      <c r="A42" s="33">
        <v>11204</v>
      </c>
      <c r="B42" s="369" t="s">
        <v>119</v>
      </c>
      <c r="C42" s="370"/>
      <c r="D42" s="370"/>
      <c r="E42" s="27">
        <v>83534.080000000002</v>
      </c>
      <c r="F42" s="27">
        <v>262477.05</v>
      </c>
      <c r="H42" s="27">
        <v>292779.23</v>
      </c>
      <c r="J42" s="27">
        <v>53231.9</v>
      </c>
    </row>
    <row r="43" spans="1:10" ht="15.95" customHeight="1" x14ac:dyDescent="0.2">
      <c r="A43" s="33">
        <v>1120401</v>
      </c>
      <c r="B43" s="369" t="s">
        <v>120</v>
      </c>
      <c r="C43" s="370"/>
      <c r="D43" s="370"/>
      <c r="E43" s="27">
        <v>39344.06</v>
      </c>
      <c r="F43" s="27">
        <v>125287.61</v>
      </c>
      <c r="H43" s="27">
        <v>151823.67000000001</v>
      </c>
      <c r="J43" s="27">
        <v>12808</v>
      </c>
    </row>
    <row r="44" spans="1:10" ht="15.95" customHeight="1" x14ac:dyDescent="0.2">
      <c r="A44" s="33" t="s">
        <v>121</v>
      </c>
      <c r="B44" s="369" t="s">
        <v>122</v>
      </c>
      <c r="C44" s="370"/>
      <c r="D44" s="370"/>
      <c r="E44" s="27">
        <v>39344.06</v>
      </c>
      <c r="F44" s="27">
        <v>125287.61</v>
      </c>
      <c r="H44" s="27">
        <v>151823.67000000001</v>
      </c>
      <c r="J44" s="27">
        <v>12808</v>
      </c>
    </row>
    <row r="45" spans="1:10" ht="15.95" customHeight="1" x14ac:dyDescent="0.2">
      <c r="A45" s="33">
        <v>1120407</v>
      </c>
      <c r="B45" s="369" t="s">
        <v>123</v>
      </c>
      <c r="C45" s="370"/>
      <c r="D45" s="370"/>
      <c r="E45" s="27">
        <v>44190.02</v>
      </c>
      <c r="F45" s="27">
        <v>137189.44</v>
      </c>
      <c r="H45" s="27">
        <v>140955.56</v>
      </c>
      <c r="J45" s="27">
        <v>40423.9</v>
      </c>
    </row>
    <row r="46" spans="1:10" ht="15.95" customHeight="1" x14ac:dyDescent="0.2">
      <c r="A46" s="33" t="s">
        <v>124</v>
      </c>
      <c r="B46" s="369" t="s">
        <v>125</v>
      </c>
      <c r="C46" s="370"/>
      <c r="D46" s="370"/>
      <c r="E46" s="27">
        <v>44190.02</v>
      </c>
      <c r="F46" s="27">
        <v>137189.44</v>
      </c>
      <c r="H46" s="27">
        <v>140955.56</v>
      </c>
      <c r="J46" s="27">
        <v>40423.9</v>
      </c>
    </row>
    <row r="47" spans="1:10" ht="15.95" customHeight="1" x14ac:dyDescent="0.2">
      <c r="A47" s="33">
        <v>11205</v>
      </c>
      <c r="B47" s="369" t="s">
        <v>126</v>
      </c>
      <c r="C47" s="370"/>
      <c r="D47" s="370"/>
      <c r="E47" s="27">
        <v>682367.68</v>
      </c>
      <c r="F47" s="27">
        <v>1665200.7</v>
      </c>
      <c r="H47" s="27">
        <v>1359650.97</v>
      </c>
      <c r="J47" s="27">
        <v>987917.41</v>
      </c>
    </row>
    <row r="48" spans="1:10" ht="15.95" customHeight="1" x14ac:dyDescent="0.2">
      <c r="A48" s="33">
        <v>1120501</v>
      </c>
      <c r="B48" s="369" t="s">
        <v>127</v>
      </c>
      <c r="C48" s="370"/>
      <c r="D48" s="370"/>
      <c r="E48" s="27">
        <v>0</v>
      </c>
      <c r="F48" s="27">
        <v>315740.49</v>
      </c>
      <c r="H48" s="27">
        <v>0</v>
      </c>
      <c r="J48" s="27">
        <v>315740.49</v>
      </c>
    </row>
    <row r="49" spans="1:10" ht="15.95" customHeight="1" x14ac:dyDescent="0.2">
      <c r="A49" s="33" t="s">
        <v>128</v>
      </c>
      <c r="B49" s="369" t="s">
        <v>129</v>
      </c>
      <c r="C49" s="370"/>
      <c r="D49" s="370"/>
      <c r="E49" s="27">
        <v>0</v>
      </c>
      <c r="F49" s="27">
        <v>290719.68</v>
      </c>
      <c r="H49" s="27">
        <v>0</v>
      </c>
      <c r="J49" s="27">
        <v>290719.68</v>
      </c>
    </row>
    <row r="50" spans="1:10" ht="15.95" customHeight="1" x14ac:dyDescent="0.2">
      <c r="A50" s="33" t="s">
        <v>130</v>
      </c>
      <c r="B50" s="369" t="s">
        <v>131</v>
      </c>
      <c r="C50" s="370"/>
      <c r="D50" s="370"/>
      <c r="E50" s="27">
        <v>0</v>
      </c>
      <c r="F50" s="27">
        <v>25020.81</v>
      </c>
      <c r="H50" s="27">
        <v>0</v>
      </c>
      <c r="J50" s="27">
        <v>25020.81</v>
      </c>
    </row>
    <row r="51" spans="1:10" ht="15.95" customHeight="1" x14ac:dyDescent="0.2">
      <c r="A51" s="33">
        <v>1120502</v>
      </c>
      <c r="B51" s="369" t="s">
        <v>132</v>
      </c>
      <c r="C51" s="370"/>
      <c r="D51" s="370"/>
      <c r="E51" s="27">
        <v>640927.68000000005</v>
      </c>
      <c r="F51" s="27">
        <v>1349460.21</v>
      </c>
      <c r="H51" s="27">
        <v>1359650.97</v>
      </c>
      <c r="J51" s="27">
        <v>630736.92000000004</v>
      </c>
    </row>
    <row r="52" spans="1:10" ht="15.95" customHeight="1" x14ac:dyDescent="0.2">
      <c r="A52" s="33" t="s">
        <v>133</v>
      </c>
      <c r="B52" s="369" t="s">
        <v>134</v>
      </c>
      <c r="C52" s="370"/>
      <c r="D52" s="370"/>
      <c r="E52" s="27">
        <v>1218.1400000000001</v>
      </c>
      <c r="F52" s="27">
        <v>444539.43</v>
      </c>
      <c r="H52" s="27">
        <v>444539.43</v>
      </c>
      <c r="J52" s="27">
        <v>1218.1400000000001</v>
      </c>
    </row>
    <row r="53" spans="1:10" ht="15.95" customHeight="1" x14ac:dyDescent="0.2">
      <c r="A53" s="33" t="s">
        <v>135</v>
      </c>
      <c r="B53" s="369" t="s">
        <v>136</v>
      </c>
      <c r="C53" s="370"/>
      <c r="D53" s="370"/>
      <c r="E53" s="27">
        <v>129838.19</v>
      </c>
      <c r="F53" s="27">
        <v>272421.09000000003</v>
      </c>
      <c r="H53" s="27">
        <v>212568</v>
      </c>
      <c r="J53" s="27">
        <v>189691.28</v>
      </c>
    </row>
    <row r="54" spans="1:10" ht="15.95" customHeight="1" x14ac:dyDescent="0.2">
      <c r="A54" s="33" t="s">
        <v>137</v>
      </c>
      <c r="B54" s="369" t="s">
        <v>138</v>
      </c>
      <c r="C54" s="370"/>
      <c r="D54" s="370"/>
      <c r="E54" s="27">
        <v>509876.27</v>
      </c>
      <c r="F54" s="27">
        <v>175503.29</v>
      </c>
      <c r="H54" s="27">
        <v>657122.28</v>
      </c>
      <c r="J54" s="27">
        <v>28257.279999999999</v>
      </c>
    </row>
    <row r="55" spans="1:10" ht="15.95" customHeight="1" x14ac:dyDescent="0.2">
      <c r="A55" s="33" t="s">
        <v>139</v>
      </c>
      <c r="B55" s="369" t="s">
        <v>140</v>
      </c>
      <c r="C55" s="370"/>
      <c r="D55" s="370"/>
      <c r="E55" s="27">
        <v>-4.92</v>
      </c>
      <c r="F55" s="27">
        <v>420665.38</v>
      </c>
      <c r="H55" s="27">
        <v>26976.28</v>
      </c>
      <c r="J55" s="27">
        <v>393684.18</v>
      </c>
    </row>
    <row r="56" spans="1:10" ht="15.95" customHeight="1" x14ac:dyDescent="0.2">
      <c r="A56" s="33" t="s">
        <v>141</v>
      </c>
      <c r="B56" s="369" t="s">
        <v>142</v>
      </c>
      <c r="C56" s="370"/>
      <c r="D56" s="370"/>
      <c r="E56" s="27">
        <v>0</v>
      </c>
      <c r="F56" s="27">
        <v>36331.019999999997</v>
      </c>
      <c r="H56" s="27">
        <v>18444.98</v>
      </c>
      <c r="J56" s="27">
        <v>17886.04</v>
      </c>
    </row>
    <row r="57" spans="1:10" ht="15.95" customHeight="1" x14ac:dyDescent="0.2">
      <c r="A57" s="33">
        <v>1120503</v>
      </c>
      <c r="B57" s="369" t="s">
        <v>143</v>
      </c>
      <c r="C57" s="370"/>
      <c r="D57" s="370"/>
      <c r="E57" s="27">
        <v>41440</v>
      </c>
      <c r="F57" s="27">
        <v>0</v>
      </c>
      <c r="H57" s="27">
        <v>0</v>
      </c>
      <c r="J57" s="27">
        <v>41440</v>
      </c>
    </row>
    <row r="58" spans="1:10" ht="15.95" customHeight="1" x14ac:dyDescent="0.2">
      <c r="A58" s="33" t="s">
        <v>144</v>
      </c>
      <c r="B58" s="369" t="s">
        <v>145</v>
      </c>
      <c r="C58" s="370"/>
      <c r="D58" s="370"/>
      <c r="E58" s="27">
        <v>41440</v>
      </c>
      <c r="F58" s="27">
        <v>0</v>
      </c>
      <c r="H58" s="27">
        <v>0</v>
      </c>
      <c r="J58" s="27">
        <v>41440</v>
      </c>
    </row>
    <row r="59" spans="1:10" ht="27.95" customHeight="1" x14ac:dyDescent="0.2">
      <c r="A59" s="33">
        <v>113</v>
      </c>
      <c r="B59" s="369" t="s">
        <v>146</v>
      </c>
      <c r="C59" s="370"/>
      <c r="D59" s="370"/>
      <c r="E59" s="27">
        <v>1256730.98</v>
      </c>
      <c r="F59" s="27">
        <v>813527.09</v>
      </c>
      <c r="H59" s="27">
        <v>306898.90000000002</v>
      </c>
      <c r="J59" s="27">
        <v>1763359.17</v>
      </c>
    </row>
    <row r="60" spans="1:10" ht="15.95" customHeight="1" x14ac:dyDescent="0.2">
      <c r="A60" s="401" t="s">
        <v>1441</v>
      </c>
      <c r="B60" s="370"/>
      <c r="C60" s="370"/>
      <c r="D60" s="102" t="s">
        <v>1744</v>
      </c>
      <c r="J60" s="103" t="s">
        <v>1745</v>
      </c>
    </row>
    <row r="61" spans="1:10" ht="20.100000000000001" customHeight="1" x14ac:dyDescent="0.2">
      <c r="A61" s="99" t="s">
        <v>1424</v>
      </c>
      <c r="J61" s="100" t="s">
        <v>1746</v>
      </c>
    </row>
    <row r="62" spans="1:10" ht="15.95" customHeight="1" x14ac:dyDescent="0.2">
      <c r="A62" s="33" t="s">
        <v>1739</v>
      </c>
      <c r="C62" s="33" t="s">
        <v>0</v>
      </c>
      <c r="J62" s="27" t="s">
        <v>1740</v>
      </c>
    </row>
    <row r="63" spans="1:10" ht="14.1" customHeight="1" x14ac:dyDescent="0.2">
      <c r="A63" s="101" t="s">
        <v>1741</v>
      </c>
      <c r="J63" s="27" t="s">
        <v>1742</v>
      </c>
    </row>
    <row r="64" spans="1:10" ht="15" customHeight="1" x14ac:dyDescent="0.2">
      <c r="A64" s="101" t="s">
        <v>1743</v>
      </c>
    </row>
    <row r="65" spans="1:10" ht="23.1" customHeight="1" x14ac:dyDescent="0.2">
      <c r="A65" s="23" t="s">
        <v>55</v>
      </c>
      <c r="B65" s="23" t="s">
        <v>56</v>
      </c>
      <c r="E65" s="24" t="s">
        <v>57</v>
      </c>
      <c r="F65" s="24" t="s">
        <v>58</v>
      </c>
      <c r="H65" s="24" t="s">
        <v>59</v>
      </c>
      <c r="J65" s="24" t="s">
        <v>60</v>
      </c>
    </row>
    <row r="66" spans="1:10" ht="15.95" customHeight="1" x14ac:dyDescent="0.2">
      <c r="A66" s="33">
        <v>11301</v>
      </c>
      <c r="B66" s="369" t="s">
        <v>146</v>
      </c>
      <c r="C66" s="370"/>
      <c r="D66" s="370"/>
      <c r="E66" s="27">
        <v>1256730.98</v>
      </c>
      <c r="F66" s="27">
        <v>813527.09</v>
      </c>
      <c r="H66" s="27">
        <v>306898.90000000002</v>
      </c>
      <c r="J66" s="27">
        <v>1763359.17</v>
      </c>
    </row>
    <row r="67" spans="1:10" ht="15.95" customHeight="1" x14ac:dyDescent="0.2">
      <c r="A67" s="33">
        <v>1130101</v>
      </c>
      <c r="B67" s="369" t="s">
        <v>147</v>
      </c>
      <c r="C67" s="370"/>
      <c r="D67" s="370"/>
      <c r="E67" s="27">
        <v>0</v>
      </c>
      <c r="F67" s="27">
        <v>813527.09</v>
      </c>
      <c r="H67" s="27">
        <v>306898.90000000002</v>
      </c>
      <c r="J67" s="27">
        <v>506628.19</v>
      </c>
    </row>
    <row r="68" spans="1:10" ht="15.95" customHeight="1" x14ac:dyDescent="0.2">
      <c r="A68" s="33" t="s">
        <v>148</v>
      </c>
      <c r="B68" s="369" t="s">
        <v>149</v>
      </c>
      <c r="C68" s="370"/>
      <c r="D68" s="370"/>
      <c r="E68" s="27">
        <v>0</v>
      </c>
      <c r="F68" s="27">
        <v>403593.09</v>
      </c>
      <c r="H68" s="27">
        <v>0</v>
      </c>
      <c r="J68" s="27">
        <v>403593.09</v>
      </c>
    </row>
    <row r="69" spans="1:10" ht="15.95" customHeight="1" x14ac:dyDescent="0.2">
      <c r="A69" s="33" t="s">
        <v>150</v>
      </c>
      <c r="B69" s="369" t="s">
        <v>151</v>
      </c>
      <c r="C69" s="370"/>
      <c r="D69" s="370"/>
      <c r="E69" s="27">
        <v>0</v>
      </c>
      <c r="F69" s="27">
        <v>18953.169999999998</v>
      </c>
      <c r="H69" s="27">
        <v>0</v>
      </c>
      <c r="J69" s="27">
        <v>18953.169999999998</v>
      </c>
    </row>
    <row r="70" spans="1:10" ht="15.95" customHeight="1" x14ac:dyDescent="0.2">
      <c r="A70" s="33" t="s">
        <v>154</v>
      </c>
      <c r="B70" s="369" t="s">
        <v>155</v>
      </c>
      <c r="C70" s="370"/>
      <c r="D70" s="370"/>
      <c r="E70" s="27">
        <v>0</v>
      </c>
      <c r="F70" s="27">
        <v>84081.93</v>
      </c>
      <c r="H70" s="27">
        <v>0</v>
      </c>
      <c r="J70" s="27">
        <v>84081.93</v>
      </c>
    </row>
    <row r="71" spans="1:10" ht="15.95" customHeight="1" x14ac:dyDescent="0.2">
      <c r="A71" s="33" t="s">
        <v>156</v>
      </c>
      <c r="B71" s="369" t="s">
        <v>157</v>
      </c>
      <c r="C71" s="370"/>
      <c r="D71" s="370"/>
      <c r="E71" s="27">
        <v>0</v>
      </c>
      <c r="F71" s="27">
        <v>54653.21</v>
      </c>
      <c r="H71" s="27">
        <v>54653.21</v>
      </c>
      <c r="J71" s="27">
        <v>0</v>
      </c>
    </row>
    <row r="72" spans="1:10" ht="15.95" customHeight="1" x14ac:dyDescent="0.2">
      <c r="A72" s="33" t="s">
        <v>158</v>
      </c>
      <c r="B72" s="369" t="s">
        <v>159</v>
      </c>
      <c r="C72" s="370"/>
      <c r="D72" s="370"/>
      <c r="E72" s="27">
        <v>0</v>
      </c>
      <c r="F72" s="27">
        <v>252245.69</v>
      </c>
      <c r="H72" s="27">
        <v>252245.69</v>
      </c>
      <c r="J72" s="27">
        <v>0</v>
      </c>
    </row>
    <row r="73" spans="1:10" ht="15.95" customHeight="1" x14ac:dyDescent="0.2">
      <c r="A73" s="33">
        <v>1130102</v>
      </c>
      <c r="B73" s="369" t="s">
        <v>160</v>
      </c>
      <c r="C73" s="370"/>
      <c r="D73" s="370"/>
      <c r="E73" s="27">
        <v>1046598.36</v>
      </c>
      <c r="F73" s="27">
        <v>0</v>
      </c>
      <c r="H73" s="27">
        <v>0</v>
      </c>
      <c r="J73" s="27">
        <v>1046598.36</v>
      </c>
    </row>
    <row r="74" spans="1:10" ht="15.95" customHeight="1" x14ac:dyDescent="0.2">
      <c r="A74" s="33" t="s">
        <v>1442</v>
      </c>
      <c r="B74" s="369" t="s">
        <v>1443</v>
      </c>
      <c r="C74" s="370"/>
      <c r="D74" s="370"/>
      <c r="E74" s="27">
        <v>1046598.36</v>
      </c>
      <c r="F74" s="27">
        <v>0</v>
      </c>
      <c r="H74" s="27">
        <v>0</v>
      </c>
      <c r="J74" s="27">
        <v>1046598.36</v>
      </c>
    </row>
    <row r="75" spans="1:10" ht="15.95" customHeight="1" x14ac:dyDescent="0.2">
      <c r="A75" s="33">
        <v>1130103</v>
      </c>
      <c r="B75" s="369" t="s">
        <v>163</v>
      </c>
      <c r="C75" s="370"/>
      <c r="D75" s="370"/>
      <c r="E75" s="27">
        <v>210132.62</v>
      </c>
      <c r="F75" s="27">
        <v>0</v>
      </c>
      <c r="H75" s="27">
        <v>0</v>
      </c>
      <c r="J75" s="27">
        <v>210132.62</v>
      </c>
    </row>
    <row r="76" spans="1:10" ht="15.95" customHeight="1" x14ac:dyDescent="0.2">
      <c r="A76" s="33" t="s">
        <v>1444</v>
      </c>
      <c r="B76" s="369" t="s">
        <v>1445</v>
      </c>
      <c r="C76" s="370"/>
      <c r="D76" s="370"/>
      <c r="E76" s="27">
        <v>210132.62</v>
      </c>
      <c r="F76" s="27">
        <v>0</v>
      </c>
      <c r="H76" s="27">
        <v>0</v>
      </c>
      <c r="J76" s="27">
        <v>210132.62</v>
      </c>
    </row>
    <row r="77" spans="1:10" ht="15.95" customHeight="1" x14ac:dyDescent="0.2">
      <c r="A77" s="33">
        <v>114</v>
      </c>
      <c r="B77" s="369" t="s">
        <v>173</v>
      </c>
      <c r="C77" s="370"/>
      <c r="D77" s="370"/>
      <c r="E77" s="27">
        <v>103733.55</v>
      </c>
      <c r="F77" s="27">
        <v>53951.93</v>
      </c>
      <c r="H77" s="27">
        <v>88595.88</v>
      </c>
      <c r="J77" s="27">
        <v>69089.600000000006</v>
      </c>
    </row>
    <row r="78" spans="1:10" ht="15.95" customHeight="1" x14ac:dyDescent="0.2">
      <c r="A78" s="33">
        <v>11401</v>
      </c>
      <c r="B78" s="369" t="s">
        <v>174</v>
      </c>
      <c r="C78" s="370"/>
      <c r="D78" s="370"/>
      <c r="E78" s="27">
        <v>103733.55</v>
      </c>
      <c r="F78" s="27">
        <v>53951.93</v>
      </c>
      <c r="H78" s="27">
        <v>88595.88</v>
      </c>
      <c r="J78" s="27">
        <v>69089.600000000006</v>
      </c>
    </row>
    <row r="79" spans="1:10" ht="15.95" customHeight="1" x14ac:dyDescent="0.2">
      <c r="A79" s="33">
        <v>1140101</v>
      </c>
      <c r="B79" s="369" t="s">
        <v>175</v>
      </c>
      <c r="C79" s="370"/>
      <c r="D79" s="370"/>
      <c r="E79" s="27">
        <v>38142.800000000003</v>
      </c>
      <c r="F79" s="27">
        <v>4377.6000000000004</v>
      </c>
      <c r="H79" s="27">
        <v>33127.800000000003</v>
      </c>
      <c r="J79" s="27">
        <v>9392.6</v>
      </c>
    </row>
    <row r="80" spans="1:10" ht="15.95" customHeight="1" x14ac:dyDescent="0.2">
      <c r="A80" s="33" t="s">
        <v>176</v>
      </c>
      <c r="B80" s="369" t="s">
        <v>177</v>
      </c>
      <c r="C80" s="370"/>
      <c r="D80" s="370"/>
      <c r="E80" s="27">
        <v>31200</v>
      </c>
      <c r="F80" s="27">
        <v>0</v>
      </c>
      <c r="H80" s="27">
        <v>27600</v>
      </c>
      <c r="J80" s="27">
        <v>3600</v>
      </c>
    </row>
    <row r="81" spans="1:10" ht="15.95" customHeight="1" x14ac:dyDescent="0.2">
      <c r="A81" s="33" t="s">
        <v>1446</v>
      </c>
      <c r="B81" s="369" t="s">
        <v>1224</v>
      </c>
      <c r="C81" s="370"/>
      <c r="D81" s="370"/>
      <c r="E81" s="27">
        <v>267</v>
      </c>
      <c r="F81" s="27">
        <v>177.6</v>
      </c>
      <c r="H81" s="27">
        <v>322.2</v>
      </c>
      <c r="J81" s="27">
        <v>122.4</v>
      </c>
    </row>
    <row r="82" spans="1:10" ht="15.95" customHeight="1" x14ac:dyDescent="0.2">
      <c r="A82" s="33" t="s">
        <v>178</v>
      </c>
      <c r="B82" s="369" t="s">
        <v>179</v>
      </c>
      <c r="C82" s="370"/>
      <c r="D82" s="370"/>
      <c r="E82" s="27">
        <v>6675.8</v>
      </c>
      <c r="F82" s="27">
        <v>4200</v>
      </c>
      <c r="H82" s="27">
        <v>5205.6000000000004</v>
      </c>
      <c r="J82" s="27">
        <v>5670.2</v>
      </c>
    </row>
    <row r="83" spans="1:10" ht="15.95" customHeight="1" x14ac:dyDescent="0.2">
      <c r="A83" s="33">
        <v>1140102</v>
      </c>
      <c r="B83" s="369" t="s">
        <v>180</v>
      </c>
      <c r="C83" s="370"/>
      <c r="D83" s="370"/>
      <c r="E83" s="27">
        <v>65590.75</v>
      </c>
      <c r="F83" s="27">
        <v>49574.33</v>
      </c>
      <c r="H83" s="27">
        <v>55468.08</v>
      </c>
      <c r="J83" s="27">
        <v>59697</v>
      </c>
    </row>
    <row r="84" spans="1:10" ht="15.95" customHeight="1" x14ac:dyDescent="0.2">
      <c r="A84" s="33" t="s">
        <v>181</v>
      </c>
      <c r="B84" s="369" t="s">
        <v>182</v>
      </c>
      <c r="C84" s="370"/>
      <c r="D84" s="370"/>
      <c r="E84" s="27">
        <v>43335.66</v>
      </c>
      <c r="F84" s="27">
        <v>21045.88</v>
      </c>
      <c r="H84" s="27">
        <v>25692.57</v>
      </c>
      <c r="J84" s="27">
        <v>38688.97</v>
      </c>
    </row>
    <row r="85" spans="1:10" ht="15.95" customHeight="1" x14ac:dyDescent="0.2">
      <c r="A85" s="33" t="s">
        <v>183</v>
      </c>
      <c r="B85" s="369" t="s">
        <v>184</v>
      </c>
      <c r="C85" s="370"/>
      <c r="D85" s="370"/>
      <c r="E85" s="27">
        <v>0</v>
      </c>
      <c r="F85" s="27">
        <v>5959.58</v>
      </c>
      <c r="H85" s="27">
        <v>5959.58</v>
      </c>
      <c r="J85" s="27">
        <v>0</v>
      </c>
    </row>
    <row r="86" spans="1:10" ht="15.95" customHeight="1" x14ac:dyDescent="0.2">
      <c r="A86" s="33" t="s">
        <v>185</v>
      </c>
      <c r="B86" s="369" t="s">
        <v>186</v>
      </c>
      <c r="C86" s="370"/>
      <c r="D86" s="370"/>
      <c r="E86" s="27">
        <v>238.5</v>
      </c>
      <c r="F86" s="27">
        <v>1410</v>
      </c>
      <c r="H86" s="27">
        <v>1496.5</v>
      </c>
      <c r="J86" s="27">
        <v>152</v>
      </c>
    </row>
    <row r="87" spans="1:10" ht="15.95" customHeight="1" x14ac:dyDescent="0.2">
      <c r="A87" s="33" t="s">
        <v>187</v>
      </c>
      <c r="B87" s="369" t="s">
        <v>188</v>
      </c>
      <c r="C87" s="370"/>
      <c r="D87" s="370"/>
      <c r="E87" s="27">
        <v>280</v>
      </c>
      <c r="F87" s="27">
        <v>1704</v>
      </c>
      <c r="H87" s="27">
        <v>1837.44</v>
      </c>
      <c r="J87" s="27">
        <v>146.56</v>
      </c>
    </row>
    <row r="88" spans="1:10" ht="15.95" customHeight="1" x14ac:dyDescent="0.2">
      <c r="A88" s="33" t="s">
        <v>189</v>
      </c>
      <c r="B88" s="369" t="s">
        <v>190</v>
      </c>
      <c r="C88" s="370"/>
      <c r="D88" s="370"/>
      <c r="E88" s="27">
        <v>7530.65</v>
      </c>
      <c r="F88" s="27">
        <v>10159.870000000001</v>
      </c>
      <c r="H88" s="27">
        <v>10496.62</v>
      </c>
      <c r="J88" s="27">
        <v>7193.9</v>
      </c>
    </row>
    <row r="89" spans="1:10" ht="15.95" customHeight="1" x14ac:dyDescent="0.2">
      <c r="A89" s="33" t="s">
        <v>191</v>
      </c>
      <c r="B89" s="369" t="s">
        <v>192</v>
      </c>
      <c r="C89" s="370"/>
      <c r="D89" s="370"/>
      <c r="E89" s="27">
        <v>832.01</v>
      </c>
      <c r="F89" s="27">
        <v>55</v>
      </c>
      <c r="H89" s="27">
        <v>81.53</v>
      </c>
      <c r="J89" s="27">
        <v>805.48</v>
      </c>
    </row>
    <row r="90" spans="1:10" ht="15.95" customHeight="1" x14ac:dyDescent="0.2">
      <c r="A90" s="33" t="s">
        <v>193</v>
      </c>
      <c r="B90" s="369" t="s">
        <v>194</v>
      </c>
      <c r="C90" s="370"/>
      <c r="D90" s="370"/>
      <c r="E90" s="27">
        <v>9259.65</v>
      </c>
      <c r="F90" s="27">
        <v>9240</v>
      </c>
      <c r="H90" s="27">
        <v>9903.84</v>
      </c>
      <c r="J90" s="27">
        <v>8595.81</v>
      </c>
    </row>
    <row r="91" spans="1:10" ht="15.95" customHeight="1" x14ac:dyDescent="0.2">
      <c r="A91" s="33" t="s">
        <v>195</v>
      </c>
      <c r="B91" s="369" t="s">
        <v>196</v>
      </c>
      <c r="C91" s="370"/>
      <c r="D91" s="370"/>
      <c r="E91" s="27">
        <v>4114.28</v>
      </c>
      <c r="F91" s="27">
        <v>0</v>
      </c>
      <c r="H91" s="27">
        <v>0</v>
      </c>
      <c r="J91" s="27">
        <v>4114.28</v>
      </c>
    </row>
    <row r="92" spans="1:10" ht="15.95" customHeight="1" x14ac:dyDescent="0.2">
      <c r="A92" s="33">
        <v>117</v>
      </c>
      <c r="B92" s="369" t="s">
        <v>197</v>
      </c>
      <c r="C92" s="370"/>
      <c r="D92" s="370"/>
      <c r="E92" s="27">
        <v>222491.96</v>
      </c>
      <c r="F92" s="27">
        <v>28502.83</v>
      </c>
      <c r="H92" s="27">
        <v>161627.64000000001</v>
      </c>
      <c r="J92" s="27">
        <v>89367.15</v>
      </c>
    </row>
    <row r="93" spans="1:10" ht="15.95" customHeight="1" x14ac:dyDescent="0.2">
      <c r="A93" s="33">
        <v>11701</v>
      </c>
      <c r="B93" s="369" t="s">
        <v>197</v>
      </c>
      <c r="C93" s="370"/>
      <c r="D93" s="370"/>
      <c r="E93" s="27">
        <v>222491.96</v>
      </c>
      <c r="F93" s="27">
        <v>28502.83</v>
      </c>
      <c r="H93" s="27">
        <v>161627.64000000001</v>
      </c>
      <c r="J93" s="27">
        <v>89367.15</v>
      </c>
    </row>
    <row r="94" spans="1:10" ht="15.95" customHeight="1" x14ac:dyDescent="0.2">
      <c r="A94" s="33">
        <v>1170101</v>
      </c>
      <c r="B94" s="369" t="s">
        <v>198</v>
      </c>
      <c r="C94" s="370"/>
      <c r="D94" s="370"/>
      <c r="E94" s="27">
        <v>206087.82</v>
      </c>
      <c r="F94" s="27">
        <v>16011.87</v>
      </c>
      <c r="H94" s="27">
        <v>142994.14000000001</v>
      </c>
      <c r="J94" s="27">
        <v>79105.55</v>
      </c>
    </row>
    <row r="95" spans="1:10" ht="15.95" customHeight="1" x14ac:dyDescent="0.2">
      <c r="A95" s="33" t="s">
        <v>199</v>
      </c>
      <c r="B95" s="369" t="s">
        <v>200</v>
      </c>
      <c r="C95" s="370"/>
      <c r="D95" s="370"/>
      <c r="E95" s="27">
        <v>161070</v>
      </c>
      <c r="F95" s="27">
        <v>0</v>
      </c>
      <c r="H95" s="27">
        <v>96642</v>
      </c>
      <c r="J95" s="27">
        <v>64428</v>
      </c>
    </row>
    <row r="96" spans="1:10" ht="15.95" customHeight="1" x14ac:dyDescent="0.2">
      <c r="A96" s="33" t="s">
        <v>201</v>
      </c>
      <c r="B96" s="369" t="s">
        <v>202</v>
      </c>
      <c r="C96" s="370"/>
      <c r="D96" s="370"/>
      <c r="E96" s="27">
        <v>45017.82</v>
      </c>
      <c r="F96" s="27">
        <v>16011.87</v>
      </c>
      <c r="H96" s="27">
        <v>46352.14</v>
      </c>
      <c r="J96" s="27">
        <v>14677.55</v>
      </c>
    </row>
    <row r="97" spans="1:10" ht="15.95" customHeight="1" x14ac:dyDescent="0.2">
      <c r="A97" s="33">
        <v>1170102</v>
      </c>
      <c r="B97" s="369" t="s">
        <v>203</v>
      </c>
      <c r="C97" s="370"/>
      <c r="D97" s="370"/>
      <c r="E97" s="27">
        <v>16404.14</v>
      </c>
      <c r="F97" s="27">
        <v>440</v>
      </c>
      <c r="H97" s="27">
        <v>12608</v>
      </c>
      <c r="J97" s="27">
        <v>4236.1400000000003</v>
      </c>
    </row>
    <row r="98" spans="1:10" ht="15.95" customHeight="1" x14ac:dyDescent="0.2">
      <c r="A98" s="33" t="s">
        <v>1447</v>
      </c>
      <c r="B98" s="369" t="s">
        <v>1448</v>
      </c>
      <c r="C98" s="370"/>
      <c r="D98" s="370"/>
      <c r="E98" s="27">
        <v>339.5</v>
      </c>
      <c r="F98" s="27">
        <v>440</v>
      </c>
      <c r="H98" s="27">
        <v>559.52</v>
      </c>
      <c r="J98" s="27">
        <v>219.98</v>
      </c>
    </row>
    <row r="99" spans="1:10" ht="15.95" customHeight="1" x14ac:dyDescent="0.2">
      <c r="A99" s="33" t="s">
        <v>204</v>
      </c>
      <c r="B99" s="369" t="s">
        <v>205</v>
      </c>
      <c r="C99" s="370"/>
      <c r="D99" s="370"/>
      <c r="E99" s="27">
        <v>16064.64</v>
      </c>
      <c r="F99" s="27">
        <v>0</v>
      </c>
      <c r="H99" s="27">
        <v>12048.48</v>
      </c>
      <c r="J99" s="27">
        <v>4016.16</v>
      </c>
    </row>
    <row r="100" spans="1:10" ht="15.95" customHeight="1" x14ac:dyDescent="0.2">
      <c r="A100" s="33">
        <v>1170103</v>
      </c>
      <c r="B100" s="369" t="s">
        <v>206</v>
      </c>
      <c r="C100" s="370"/>
      <c r="D100" s="370"/>
      <c r="E100" s="27">
        <v>0</v>
      </c>
      <c r="F100" s="27">
        <v>12050.96</v>
      </c>
      <c r="H100" s="27">
        <v>6025.5</v>
      </c>
      <c r="J100" s="27">
        <v>6025.46</v>
      </c>
    </row>
    <row r="101" spans="1:10" ht="15.95" customHeight="1" x14ac:dyDescent="0.2">
      <c r="A101" s="33" t="s">
        <v>207</v>
      </c>
      <c r="B101" s="369" t="s">
        <v>208</v>
      </c>
      <c r="C101" s="370"/>
      <c r="D101" s="370"/>
      <c r="E101" s="27">
        <v>0</v>
      </c>
      <c r="F101" s="27">
        <v>12050.96</v>
      </c>
      <c r="H101" s="27">
        <v>6025.5</v>
      </c>
      <c r="J101" s="27">
        <v>6025.46</v>
      </c>
    </row>
    <row r="102" spans="1:10" ht="15.95" customHeight="1" x14ac:dyDescent="0.2">
      <c r="A102" s="33">
        <v>12</v>
      </c>
      <c r="B102" s="369" t="s">
        <v>209</v>
      </c>
      <c r="C102" s="370"/>
      <c r="D102" s="370"/>
      <c r="E102" s="27">
        <v>325188005.11000001</v>
      </c>
      <c r="F102" s="27">
        <v>36277354.539999999</v>
      </c>
      <c r="H102" s="27">
        <v>50402661.119999997</v>
      </c>
      <c r="J102" s="27">
        <v>311062698.52999997</v>
      </c>
    </row>
    <row r="103" spans="1:10" ht="15.95" customHeight="1" x14ac:dyDescent="0.2">
      <c r="A103" s="33">
        <v>121</v>
      </c>
      <c r="B103" s="369" t="s">
        <v>210</v>
      </c>
      <c r="C103" s="370"/>
      <c r="D103" s="370"/>
      <c r="E103" s="27">
        <v>817373.97</v>
      </c>
      <c r="F103" s="27">
        <v>108504.25</v>
      </c>
      <c r="H103" s="27">
        <v>255376.8</v>
      </c>
      <c r="J103" s="27">
        <v>670501.42000000004</v>
      </c>
    </row>
    <row r="104" spans="1:10" ht="15.95" customHeight="1" x14ac:dyDescent="0.2">
      <c r="A104" s="33">
        <v>12101</v>
      </c>
      <c r="B104" s="369" t="s">
        <v>211</v>
      </c>
      <c r="C104" s="370"/>
      <c r="D104" s="370"/>
      <c r="E104" s="27">
        <v>739127.8</v>
      </c>
      <c r="F104" s="27">
        <v>108504.25</v>
      </c>
      <c r="H104" s="27">
        <v>250518.1</v>
      </c>
      <c r="J104" s="27">
        <v>597113.94999999995</v>
      </c>
    </row>
    <row r="105" spans="1:10" ht="15.95" customHeight="1" x14ac:dyDescent="0.2">
      <c r="A105" s="33">
        <v>1210101</v>
      </c>
      <c r="B105" s="369" t="s">
        <v>212</v>
      </c>
      <c r="C105" s="370"/>
      <c r="D105" s="370"/>
      <c r="E105" s="27">
        <v>337890.82</v>
      </c>
      <c r="F105" s="27">
        <v>46450.29</v>
      </c>
      <c r="H105" s="27">
        <v>84235.99</v>
      </c>
      <c r="J105" s="27">
        <v>300105.12</v>
      </c>
    </row>
    <row r="106" spans="1:10" ht="15.95" customHeight="1" x14ac:dyDescent="0.2">
      <c r="A106" s="33" t="s">
        <v>213</v>
      </c>
      <c r="B106" s="369" t="s">
        <v>214</v>
      </c>
      <c r="C106" s="370"/>
      <c r="D106" s="370"/>
      <c r="E106" s="27">
        <v>16601.04</v>
      </c>
      <c r="F106" s="27">
        <v>0</v>
      </c>
      <c r="H106" s="27">
        <v>0</v>
      </c>
      <c r="J106" s="27">
        <v>16601.04</v>
      </c>
    </row>
    <row r="107" spans="1:10" ht="15.95" customHeight="1" x14ac:dyDescent="0.2">
      <c r="A107" s="33" t="s">
        <v>1449</v>
      </c>
      <c r="B107" s="369" t="s">
        <v>1450</v>
      </c>
      <c r="C107" s="370"/>
      <c r="D107" s="370"/>
      <c r="E107" s="27">
        <v>5889.5</v>
      </c>
      <c r="F107" s="27">
        <v>0</v>
      </c>
      <c r="H107" s="27">
        <v>5889.5</v>
      </c>
      <c r="J107" s="27">
        <v>0</v>
      </c>
    </row>
    <row r="108" spans="1:10" ht="15.95" customHeight="1" x14ac:dyDescent="0.2">
      <c r="A108" s="33" t="s">
        <v>1451</v>
      </c>
      <c r="B108" s="369" t="s">
        <v>1452</v>
      </c>
      <c r="C108" s="370"/>
      <c r="D108" s="370"/>
      <c r="E108" s="27">
        <v>6290</v>
      </c>
      <c r="F108" s="27">
        <v>0</v>
      </c>
      <c r="H108" s="27">
        <v>6290</v>
      </c>
      <c r="J108" s="27">
        <v>0</v>
      </c>
    </row>
    <row r="109" spans="1:10" ht="15.95" customHeight="1" x14ac:dyDescent="0.2">
      <c r="A109" s="33" t="s">
        <v>1453</v>
      </c>
      <c r="B109" s="369" t="s">
        <v>1454</v>
      </c>
      <c r="C109" s="370"/>
      <c r="D109" s="370"/>
      <c r="E109" s="27">
        <v>6598.21</v>
      </c>
      <c r="F109" s="27">
        <v>0</v>
      </c>
      <c r="H109" s="27">
        <v>6598.21</v>
      </c>
      <c r="J109" s="27">
        <v>0</v>
      </c>
    </row>
    <row r="110" spans="1:10" ht="15.95" customHeight="1" x14ac:dyDescent="0.2">
      <c r="A110" s="33" t="s">
        <v>1455</v>
      </c>
      <c r="B110" s="369" t="s">
        <v>1456</v>
      </c>
      <c r="C110" s="370"/>
      <c r="D110" s="370"/>
      <c r="E110" s="27">
        <v>6598.21</v>
      </c>
      <c r="F110" s="27">
        <v>0</v>
      </c>
      <c r="H110" s="27">
        <v>0</v>
      </c>
      <c r="J110" s="27">
        <v>6598.21</v>
      </c>
    </row>
    <row r="111" spans="1:10" ht="15.95" customHeight="1" x14ac:dyDescent="0.2">
      <c r="A111" s="33" t="s">
        <v>215</v>
      </c>
      <c r="B111" s="369" t="s">
        <v>216</v>
      </c>
      <c r="C111" s="370"/>
      <c r="D111" s="370"/>
      <c r="E111" s="27">
        <v>8183.06</v>
      </c>
      <c r="F111" s="27">
        <v>0</v>
      </c>
      <c r="H111" s="27">
        <v>0</v>
      </c>
      <c r="J111" s="27">
        <v>8183.06</v>
      </c>
    </row>
    <row r="112" spans="1:10" ht="15.95" customHeight="1" x14ac:dyDescent="0.2">
      <c r="A112" s="33" t="s">
        <v>217</v>
      </c>
      <c r="B112" s="369" t="s">
        <v>218</v>
      </c>
      <c r="C112" s="370"/>
      <c r="D112" s="370"/>
      <c r="E112" s="27">
        <v>27985.95</v>
      </c>
      <c r="F112" s="27">
        <v>9513.16</v>
      </c>
      <c r="H112" s="27">
        <v>0</v>
      </c>
      <c r="J112" s="27">
        <v>37499.11</v>
      </c>
    </row>
    <row r="113" spans="1:10" ht="15.95" customHeight="1" x14ac:dyDescent="0.2">
      <c r="A113" s="33" t="s">
        <v>1457</v>
      </c>
      <c r="B113" s="369" t="s">
        <v>1458</v>
      </c>
      <c r="C113" s="370"/>
      <c r="D113" s="370"/>
      <c r="E113" s="27">
        <v>8959.6299999999992</v>
      </c>
      <c r="F113" s="27">
        <v>0</v>
      </c>
      <c r="H113" s="27">
        <v>0</v>
      </c>
      <c r="J113" s="27">
        <v>8959.6299999999992</v>
      </c>
    </row>
    <row r="114" spans="1:10" ht="15.95" customHeight="1" x14ac:dyDescent="0.2">
      <c r="A114" s="33" t="s">
        <v>1459</v>
      </c>
      <c r="B114" s="369" t="s">
        <v>1460</v>
      </c>
      <c r="C114" s="370"/>
      <c r="D114" s="370"/>
      <c r="E114" s="27">
        <v>9189</v>
      </c>
      <c r="F114" s="27">
        <v>0</v>
      </c>
      <c r="H114" s="27">
        <v>9189</v>
      </c>
      <c r="J114" s="27">
        <v>0</v>
      </c>
    </row>
    <row r="115" spans="1:10" ht="15.95" customHeight="1" x14ac:dyDescent="0.2">
      <c r="A115" s="33" t="s">
        <v>219</v>
      </c>
      <c r="B115" s="369" t="s">
        <v>220</v>
      </c>
      <c r="C115" s="370"/>
      <c r="D115" s="370"/>
      <c r="E115" s="27">
        <v>9189</v>
      </c>
      <c r="F115" s="27">
        <v>21152.45</v>
      </c>
      <c r="H115" s="27">
        <v>0</v>
      </c>
      <c r="J115" s="27">
        <v>30341.45</v>
      </c>
    </row>
    <row r="116" spans="1:10" ht="15.95" customHeight="1" x14ac:dyDescent="0.2">
      <c r="A116" s="33" t="s">
        <v>221</v>
      </c>
      <c r="B116" s="369" t="s">
        <v>222</v>
      </c>
      <c r="C116" s="370"/>
      <c r="D116" s="370"/>
      <c r="E116" s="27">
        <v>28215.32</v>
      </c>
      <c r="F116" s="27">
        <v>5784.68</v>
      </c>
      <c r="H116" s="27">
        <v>0</v>
      </c>
      <c r="J116" s="27">
        <v>34000</v>
      </c>
    </row>
    <row r="117" spans="1:10" ht="15.95" customHeight="1" x14ac:dyDescent="0.2">
      <c r="A117" s="33" t="s">
        <v>223</v>
      </c>
      <c r="B117" s="369" t="s">
        <v>224</v>
      </c>
      <c r="C117" s="370"/>
      <c r="D117" s="370"/>
      <c r="E117" s="27">
        <v>30000</v>
      </c>
      <c r="F117" s="27">
        <v>0</v>
      </c>
      <c r="H117" s="27">
        <v>0</v>
      </c>
      <c r="J117" s="27">
        <v>30000</v>
      </c>
    </row>
    <row r="118" spans="1:10" ht="15.95" customHeight="1" x14ac:dyDescent="0.2">
      <c r="A118" s="33" t="s">
        <v>225</v>
      </c>
      <c r="B118" s="369" t="s">
        <v>226</v>
      </c>
      <c r="C118" s="370"/>
      <c r="D118" s="370"/>
      <c r="E118" s="27">
        <v>9189</v>
      </c>
      <c r="F118" s="27">
        <v>0</v>
      </c>
      <c r="H118" s="27">
        <v>0</v>
      </c>
      <c r="J118" s="27">
        <v>9189</v>
      </c>
    </row>
    <row r="119" spans="1:10" ht="27.95" customHeight="1" x14ac:dyDescent="0.2">
      <c r="A119" s="33" t="s">
        <v>227</v>
      </c>
      <c r="B119" s="369" t="s">
        <v>228</v>
      </c>
      <c r="C119" s="370"/>
      <c r="D119" s="370"/>
      <c r="E119" s="27">
        <v>9189</v>
      </c>
      <c r="F119" s="27">
        <v>0</v>
      </c>
      <c r="H119" s="27">
        <v>0</v>
      </c>
      <c r="J119" s="27">
        <v>9189</v>
      </c>
    </row>
    <row r="120" spans="1:10" ht="15.95" customHeight="1" x14ac:dyDescent="0.2">
      <c r="A120" s="401" t="s">
        <v>1441</v>
      </c>
      <c r="B120" s="370"/>
      <c r="C120" s="370"/>
      <c r="D120" s="102" t="s">
        <v>1744</v>
      </c>
      <c r="J120" s="103" t="s">
        <v>1745</v>
      </c>
    </row>
    <row r="121" spans="1:10" ht="20.100000000000001" customHeight="1" x14ac:dyDescent="0.2">
      <c r="A121" s="99" t="s">
        <v>1424</v>
      </c>
      <c r="J121" s="100" t="s">
        <v>1747</v>
      </c>
    </row>
    <row r="122" spans="1:10" ht="15.95" customHeight="1" x14ac:dyDescent="0.2">
      <c r="A122" s="33" t="s">
        <v>1739</v>
      </c>
      <c r="C122" s="33" t="s">
        <v>0</v>
      </c>
      <c r="J122" s="27" t="s">
        <v>1740</v>
      </c>
    </row>
    <row r="123" spans="1:10" ht="14.1" customHeight="1" x14ac:dyDescent="0.2">
      <c r="A123" s="101" t="s">
        <v>1741</v>
      </c>
      <c r="J123" s="27" t="s">
        <v>1742</v>
      </c>
    </row>
    <row r="124" spans="1:10" ht="15" customHeight="1" x14ac:dyDescent="0.2">
      <c r="A124" s="101" t="s">
        <v>1743</v>
      </c>
    </row>
    <row r="125" spans="1:10" ht="23.1" customHeight="1" x14ac:dyDescent="0.2">
      <c r="A125" s="23" t="s">
        <v>55</v>
      </c>
      <c r="B125" s="23" t="s">
        <v>56</v>
      </c>
      <c r="E125" s="24" t="s">
        <v>57</v>
      </c>
      <c r="F125" s="24" t="s">
        <v>58</v>
      </c>
      <c r="H125" s="24" t="s">
        <v>59</v>
      </c>
      <c r="J125" s="24" t="s">
        <v>60</v>
      </c>
    </row>
    <row r="126" spans="1:10" ht="15.95" customHeight="1" x14ac:dyDescent="0.2">
      <c r="A126" s="33" t="s">
        <v>229</v>
      </c>
      <c r="B126" s="369" t="s">
        <v>230</v>
      </c>
      <c r="C126" s="370"/>
      <c r="D126" s="370"/>
      <c r="E126" s="27">
        <v>28215.32</v>
      </c>
      <c r="F126" s="27">
        <v>9513.16</v>
      </c>
      <c r="H126" s="27">
        <v>0</v>
      </c>
      <c r="J126" s="27">
        <v>37728.480000000003</v>
      </c>
    </row>
    <row r="127" spans="1:10" ht="15.95" customHeight="1" x14ac:dyDescent="0.2">
      <c r="A127" s="33" t="s">
        <v>231</v>
      </c>
      <c r="B127" s="369" t="s">
        <v>232</v>
      </c>
      <c r="C127" s="370"/>
      <c r="D127" s="370"/>
      <c r="E127" s="27">
        <v>6000</v>
      </c>
      <c r="F127" s="27">
        <v>0</v>
      </c>
      <c r="H127" s="27">
        <v>0</v>
      </c>
      <c r="J127" s="27">
        <v>6000</v>
      </c>
    </row>
    <row r="128" spans="1:10" ht="15.95" customHeight="1" x14ac:dyDescent="0.2">
      <c r="A128" s="33" t="s">
        <v>233</v>
      </c>
      <c r="B128" s="369" t="s">
        <v>234</v>
      </c>
      <c r="C128" s="370"/>
      <c r="D128" s="370"/>
      <c r="E128" s="27">
        <v>16175.6</v>
      </c>
      <c r="F128" s="27">
        <v>0</v>
      </c>
      <c r="H128" s="27">
        <v>0</v>
      </c>
      <c r="J128" s="27">
        <v>16175.6</v>
      </c>
    </row>
    <row r="129" spans="1:10" ht="15.95" customHeight="1" x14ac:dyDescent="0.2">
      <c r="A129" s="33" t="s">
        <v>235</v>
      </c>
      <c r="B129" s="369" t="s">
        <v>236</v>
      </c>
      <c r="C129" s="370"/>
      <c r="D129" s="370"/>
      <c r="E129" s="27">
        <v>9189</v>
      </c>
      <c r="F129" s="27">
        <v>0</v>
      </c>
      <c r="H129" s="27">
        <v>0</v>
      </c>
      <c r="J129" s="27">
        <v>9189</v>
      </c>
    </row>
    <row r="130" spans="1:10" ht="15.95" customHeight="1" x14ac:dyDescent="0.2">
      <c r="A130" s="33" t="s">
        <v>237</v>
      </c>
      <c r="B130" s="369" t="s">
        <v>238</v>
      </c>
      <c r="C130" s="370"/>
      <c r="D130" s="370"/>
      <c r="E130" s="27">
        <v>9189</v>
      </c>
      <c r="F130" s="27">
        <v>0</v>
      </c>
      <c r="H130" s="27">
        <v>0</v>
      </c>
      <c r="J130" s="27">
        <v>9189</v>
      </c>
    </row>
    <row r="131" spans="1:10" ht="15.95" customHeight="1" x14ac:dyDescent="0.2">
      <c r="A131" s="33" t="s">
        <v>239</v>
      </c>
      <c r="B131" s="369" t="s">
        <v>240</v>
      </c>
      <c r="C131" s="370"/>
      <c r="D131" s="370"/>
      <c r="E131" s="27">
        <v>9513.16</v>
      </c>
      <c r="F131" s="27">
        <v>486.84</v>
      </c>
      <c r="H131" s="27">
        <v>0</v>
      </c>
      <c r="J131" s="27">
        <v>10000</v>
      </c>
    </row>
    <row r="132" spans="1:10" ht="15.95" customHeight="1" x14ac:dyDescent="0.2">
      <c r="A132" s="33" t="s">
        <v>241</v>
      </c>
      <c r="B132" s="369" t="s">
        <v>242</v>
      </c>
      <c r="C132" s="370"/>
      <c r="D132" s="370"/>
      <c r="E132" s="27">
        <v>2236.2199999999998</v>
      </c>
      <c r="F132" s="27">
        <v>0</v>
      </c>
      <c r="H132" s="27">
        <v>0</v>
      </c>
      <c r="J132" s="27">
        <v>2236.2199999999998</v>
      </c>
    </row>
    <row r="133" spans="1:10" ht="15.95" customHeight="1" x14ac:dyDescent="0.2">
      <c r="A133" s="33" t="s">
        <v>245</v>
      </c>
      <c r="B133" s="369" t="s">
        <v>246</v>
      </c>
      <c r="C133" s="370"/>
      <c r="D133" s="370"/>
      <c r="E133" s="27">
        <v>9513.16</v>
      </c>
      <c r="F133" s="27">
        <v>0</v>
      </c>
      <c r="H133" s="27">
        <v>0</v>
      </c>
      <c r="J133" s="27">
        <v>9513.16</v>
      </c>
    </row>
    <row r="134" spans="1:10" ht="15.95" customHeight="1" x14ac:dyDescent="0.2">
      <c r="A134" s="33" t="s">
        <v>247</v>
      </c>
      <c r="B134" s="369" t="s">
        <v>248</v>
      </c>
      <c r="C134" s="370"/>
      <c r="D134" s="370"/>
      <c r="E134" s="27">
        <v>9513.16</v>
      </c>
      <c r="F134" s="27">
        <v>0</v>
      </c>
      <c r="H134" s="27">
        <v>0</v>
      </c>
      <c r="J134" s="27">
        <v>9513.16</v>
      </c>
    </row>
    <row r="135" spans="1:10" ht="15.95" customHeight="1" x14ac:dyDescent="0.2">
      <c r="A135" s="33" t="s">
        <v>1593</v>
      </c>
      <c r="B135" s="369" t="s">
        <v>263</v>
      </c>
      <c r="C135" s="370"/>
      <c r="D135" s="370"/>
      <c r="E135" s="27">
        <v>56269.279999999999</v>
      </c>
      <c r="F135" s="27">
        <v>0</v>
      </c>
      <c r="H135" s="27">
        <v>56269.279999999999</v>
      </c>
      <c r="J135" s="27">
        <v>0</v>
      </c>
    </row>
    <row r="136" spans="1:10" ht="15.95" customHeight="1" x14ac:dyDescent="0.2">
      <c r="A136" s="33">
        <v>1210102</v>
      </c>
      <c r="B136" s="369" t="s">
        <v>253</v>
      </c>
      <c r="C136" s="370"/>
      <c r="D136" s="370"/>
      <c r="E136" s="27">
        <v>385082.01</v>
      </c>
      <c r="F136" s="27">
        <v>62053.96</v>
      </c>
      <c r="H136" s="27">
        <v>156552.14000000001</v>
      </c>
      <c r="J136" s="27">
        <v>290583.83</v>
      </c>
    </row>
    <row r="137" spans="1:10" ht="15.95" customHeight="1" x14ac:dyDescent="0.2">
      <c r="A137" s="33" t="s">
        <v>254</v>
      </c>
      <c r="B137" s="369" t="s">
        <v>255</v>
      </c>
      <c r="C137" s="370"/>
      <c r="D137" s="370"/>
      <c r="E137" s="27">
        <v>83470.55</v>
      </c>
      <c r="F137" s="27">
        <v>0</v>
      </c>
      <c r="H137" s="27">
        <v>0</v>
      </c>
      <c r="J137" s="27">
        <v>83470.55</v>
      </c>
    </row>
    <row r="138" spans="1:10" ht="15.95" customHeight="1" x14ac:dyDescent="0.2">
      <c r="A138" s="33" t="s">
        <v>1461</v>
      </c>
      <c r="B138" s="369" t="s">
        <v>1462</v>
      </c>
      <c r="C138" s="370"/>
      <c r="D138" s="370"/>
      <c r="E138" s="27">
        <v>85454.88</v>
      </c>
      <c r="F138" s="27">
        <v>0</v>
      </c>
      <c r="H138" s="27">
        <v>85454.88</v>
      </c>
      <c r="J138" s="27">
        <v>0</v>
      </c>
    </row>
    <row r="139" spans="1:10" ht="15.95" customHeight="1" x14ac:dyDescent="0.2">
      <c r="A139" s="33" t="s">
        <v>256</v>
      </c>
      <c r="B139" s="369" t="s">
        <v>257</v>
      </c>
      <c r="C139" s="370"/>
      <c r="D139" s="370"/>
      <c r="E139" s="27">
        <v>56164.26</v>
      </c>
      <c r="F139" s="27">
        <v>0</v>
      </c>
      <c r="H139" s="27">
        <v>0</v>
      </c>
      <c r="J139" s="27">
        <v>56164.26</v>
      </c>
    </row>
    <row r="140" spans="1:10" ht="15.95" customHeight="1" x14ac:dyDescent="0.2">
      <c r="A140" s="33" t="s">
        <v>1463</v>
      </c>
      <c r="B140" s="369" t="s">
        <v>1464</v>
      </c>
      <c r="C140" s="370"/>
      <c r="D140" s="370"/>
      <c r="E140" s="27">
        <v>7376.34</v>
      </c>
      <c r="F140" s="27">
        <v>0</v>
      </c>
      <c r="H140" s="27">
        <v>7376.34</v>
      </c>
      <c r="J140" s="27">
        <v>0</v>
      </c>
    </row>
    <row r="141" spans="1:10" ht="15.95" customHeight="1" x14ac:dyDescent="0.2">
      <c r="A141" s="33" t="s">
        <v>1465</v>
      </c>
      <c r="B141" s="369" t="s">
        <v>1466</v>
      </c>
      <c r="C141" s="370"/>
      <c r="D141" s="370"/>
      <c r="E141" s="27">
        <v>86201.25</v>
      </c>
      <c r="F141" s="27">
        <v>0</v>
      </c>
      <c r="H141" s="27">
        <v>0</v>
      </c>
      <c r="J141" s="27">
        <v>86201.25</v>
      </c>
    </row>
    <row r="142" spans="1:10" ht="15.95" customHeight="1" x14ac:dyDescent="0.2">
      <c r="A142" s="33" t="s">
        <v>1467</v>
      </c>
      <c r="B142" s="369" t="s">
        <v>1468</v>
      </c>
      <c r="C142" s="370"/>
      <c r="D142" s="370"/>
      <c r="E142" s="27">
        <v>19561.36</v>
      </c>
      <c r="F142" s="27">
        <v>0</v>
      </c>
      <c r="H142" s="27">
        <v>19561.36</v>
      </c>
      <c r="J142" s="27">
        <v>0</v>
      </c>
    </row>
    <row r="143" spans="1:10" ht="15.95" customHeight="1" x14ac:dyDescent="0.2">
      <c r="A143" s="33" t="s">
        <v>258</v>
      </c>
      <c r="B143" s="369" t="s">
        <v>259</v>
      </c>
      <c r="C143" s="370"/>
      <c r="D143" s="370"/>
      <c r="E143" s="27">
        <v>5948.57</v>
      </c>
      <c r="F143" s="27">
        <v>0</v>
      </c>
      <c r="H143" s="27">
        <v>0</v>
      </c>
      <c r="J143" s="27">
        <v>5948.57</v>
      </c>
    </row>
    <row r="144" spans="1:10" ht="15.95" customHeight="1" x14ac:dyDescent="0.2">
      <c r="A144" s="33" t="s">
        <v>260</v>
      </c>
      <c r="B144" s="369" t="s">
        <v>261</v>
      </c>
      <c r="C144" s="370"/>
      <c r="D144" s="370"/>
      <c r="E144" s="27">
        <v>2529.92</v>
      </c>
      <c r="F144" s="27">
        <v>0</v>
      </c>
      <c r="H144" s="27">
        <v>0</v>
      </c>
      <c r="J144" s="27">
        <v>2529.92</v>
      </c>
    </row>
    <row r="145" spans="1:10" ht="15.95" customHeight="1" x14ac:dyDescent="0.2">
      <c r="A145" s="33" t="s">
        <v>1594</v>
      </c>
      <c r="B145" s="369" t="s">
        <v>222</v>
      </c>
      <c r="C145" s="370"/>
      <c r="D145" s="370"/>
      <c r="E145" s="27">
        <v>0</v>
      </c>
      <c r="F145" s="27">
        <v>5784.68</v>
      </c>
      <c r="H145" s="27">
        <v>5784.68</v>
      </c>
      <c r="J145" s="27">
        <v>0</v>
      </c>
    </row>
    <row r="146" spans="1:10" ht="15.95" customHeight="1" x14ac:dyDescent="0.2">
      <c r="A146" s="33" t="s">
        <v>1469</v>
      </c>
      <c r="B146" s="369" t="s">
        <v>1470</v>
      </c>
      <c r="C146" s="370"/>
      <c r="D146" s="370"/>
      <c r="E146" s="27">
        <v>38374.879999999997</v>
      </c>
      <c r="F146" s="27">
        <v>0</v>
      </c>
      <c r="H146" s="27">
        <v>38374.879999999997</v>
      </c>
      <c r="J146" s="27">
        <v>0</v>
      </c>
    </row>
    <row r="147" spans="1:10" ht="15.95" customHeight="1" x14ac:dyDescent="0.2">
      <c r="A147" s="33" t="s">
        <v>262</v>
      </c>
      <c r="B147" s="369" t="s">
        <v>263</v>
      </c>
      <c r="C147" s="370"/>
      <c r="D147" s="370"/>
      <c r="E147" s="27">
        <v>0</v>
      </c>
      <c r="F147" s="27">
        <v>56269.279999999999</v>
      </c>
      <c r="H147" s="27">
        <v>0</v>
      </c>
      <c r="J147" s="27">
        <v>56269.279999999999</v>
      </c>
    </row>
    <row r="148" spans="1:10" ht="15.95" customHeight="1" x14ac:dyDescent="0.2">
      <c r="A148" s="33">
        <v>1210103</v>
      </c>
      <c r="B148" s="369" t="s">
        <v>1471</v>
      </c>
      <c r="C148" s="370"/>
      <c r="D148" s="370"/>
      <c r="E148" s="27">
        <v>9729.9699999999993</v>
      </c>
      <c r="F148" s="27">
        <v>0</v>
      </c>
      <c r="H148" s="27">
        <v>9729.9699999999993</v>
      </c>
      <c r="J148" s="27">
        <v>0</v>
      </c>
    </row>
    <row r="149" spans="1:10" ht="15.95" customHeight="1" x14ac:dyDescent="0.2">
      <c r="A149" s="33" t="s">
        <v>1472</v>
      </c>
      <c r="B149" s="369" t="s">
        <v>1473</v>
      </c>
      <c r="C149" s="370"/>
      <c r="D149" s="370"/>
      <c r="E149" s="27">
        <v>9729.9699999999993</v>
      </c>
      <c r="F149" s="27">
        <v>0</v>
      </c>
      <c r="H149" s="27">
        <v>9729.9699999999993</v>
      </c>
      <c r="J149" s="27">
        <v>0</v>
      </c>
    </row>
    <row r="150" spans="1:10" ht="15.95" customHeight="1" x14ac:dyDescent="0.2">
      <c r="A150" s="33">
        <v>1210106</v>
      </c>
      <c r="B150" s="369" t="s">
        <v>264</v>
      </c>
      <c r="C150" s="370"/>
      <c r="D150" s="370"/>
      <c r="E150" s="27">
        <v>6425</v>
      </c>
      <c r="F150" s="27">
        <v>0</v>
      </c>
      <c r="H150" s="27">
        <v>0</v>
      </c>
      <c r="J150" s="27">
        <v>6425</v>
      </c>
    </row>
    <row r="151" spans="1:10" ht="15.95" customHeight="1" x14ac:dyDescent="0.2">
      <c r="A151" s="33" t="s">
        <v>1474</v>
      </c>
      <c r="B151" s="369" t="s">
        <v>1475</v>
      </c>
      <c r="C151" s="370"/>
      <c r="D151" s="370"/>
      <c r="E151" s="27">
        <v>6425</v>
      </c>
      <c r="F151" s="27">
        <v>0</v>
      </c>
      <c r="H151" s="27">
        <v>0</v>
      </c>
      <c r="J151" s="27">
        <v>6425</v>
      </c>
    </row>
    <row r="152" spans="1:10" ht="15.95" customHeight="1" x14ac:dyDescent="0.2">
      <c r="A152" s="33">
        <v>12102</v>
      </c>
      <c r="B152" s="369" t="s">
        <v>96</v>
      </c>
      <c r="C152" s="370"/>
      <c r="D152" s="370"/>
      <c r="E152" s="27">
        <v>78246.17</v>
      </c>
      <c r="F152" s="27">
        <v>0</v>
      </c>
      <c r="H152" s="27">
        <v>4858.7</v>
      </c>
      <c r="J152" s="27">
        <v>73387.47</v>
      </c>
    </row>
    <row r="153" spans="1:10" ht="15.95" customHeight="1" x14ac:dyDescent="0.2">
      <c r="A153" s="33">
        <v>1210201</v>
      </c>
      <c r="B153" s="369" t="s">
        <v>97</v>
      </c>
      <c r="C153" s="370"/>
      <c r="D153" s="370"/>
      <c r="E153" s="27">
        <v>78246.17</v>
      </c>
      <c r="F153" s="27">
        <v>0</v>
      </c>
      <c r="H153" s="27">
        <v>4858.7</v>
      </c>
      <c r="J153" s="27">
        <v>73387.47</v>
      </c>
    </row>
    <row r="154" spans="1:10" ht="15.95" customHeight="1" x14ac:dyDescent="0.2">
      <c r="A154" s="33" t="s">
        <v>267</v>
      </c>
      <c r="B154" s="369" t="s">
        <v>102</v>
      </c>
      <c r="C154" s="370"/>
      <c r="D154" s="370"/>
      <c r="E154" s="27">
        <v>73387.47</v>
      </c>
      <c r="F154" s="27">
        <v>0</v>
      </c>
      <c r="H154" s="27">
        <v>0</v>
      </c>
      <c r="J154" s="27">
        <v>73387.47</v>
      </c>
    </row>
    <row r="155" spans="1:10" ht="15.95" customHeight="1" x14ac:dyDescent="0.2">
      <c r="A155" s="33" t="s">
        <v>1476</v>
      </c>
      <c r="B155" s="369" t="s">
        <v>1477</v>
      </c>
      <c r="C155" s="370"/>
      <c r="D155" s="370"/>
      <c r="E155" s="27">
        <v>4858.7</v>
      </c>
      <c r="F155" s="27">
        <v>0</v>
      </c>
      <c r="H155" s="27">
        <v>4858.7</v>
      </c>
      <c r="J155" s="27">
        <v>0</v>
      </c>
    </row>
    <row r="156" spans="1:10" ht="15.95" customHeight="1" x14ac:dyDescent="0.2">
      <c r="A156" s="33">
        <v>122</v>
      </c>
      <c r="B156" s="369" t="s">
        <v>268</v>
      </c>
      <c r="C156" s="370"/>
      <c r="D156" s="370"/>
      <c r="E156" s="27">
        <v>12203.91</v>
      </c>
      <c r="F156" s="27">
        <v>0</v>
      </c>
      <c r="H156" s="27">
        <v>0</v>
      </c>
      <c r="J156" s="27">
        <v>12203.91</v>
      </c>
    </row>
    <row r="157" spans="1:10" ht="15.95" customHeight="1" x14ac:dyDescent="0.2">
      <c r="A157" s="33">
        <v>12201</v>
      </c>
      <c r="B157" s="369" t="s">
        <v>268</v>
      </c>
      <c r="C157" s="370"/>
      <c r="D157" s="370"/>
      <c r="E157" s="27">
        <v>12203.91</v>
      </c>
      <c r="F157" s="27">
        <v>0</v>
      </c>
      <c r="H157" s="27">
        <v>0</v>
      </c>
      <c r="J157" s="27">
        <v>12203.91</v>
      </c>
    </row>
    <row r="158" spans="1:10" ht="15.95" customHeight="1" x14ac:dyDescent="0.2">
      <c r="A158" s="33">
        <v>1220105</v>
      </c>
      <c r="B158" s="369" t="s">
        <v>269</v>
      </c>
      <c r="C158" s="370"/>
      <c r="D158" s="370"/>
      <c r="E158" s="27">
        <v>12203.91</v>
      </c>
      <c r="F158" s="27">
        <v>0</v>
      </c>
      <c r="H158" s="27">
        <v>0</v>
      </c>
      <c r="J158" s="27">
        <v>12203.91</v>
      </c>
    </row>
    <row r="159" spans="1:10" ht="15.95" customHeight="1" x14ac:dyDescent="0.2">
      <c r="A159" s="33" t="s">
        <v>270</v>
      </c>
      <c r="B159" s="369" t="s">
        <v>271</v>
      </c>
      <c r="C159" s="370"/>
      <c r="D159" s="370"/>
      <c r="E159" s="27">
        <v>4179.53</v>
      </c>
      <c r="F159" s="27">
        <v>0</v>
      </c>
      <c r="H159" s="27">
        <v>0</v>
      </c>
      <c r="J159" s="27">
        <v>4179.53</v>
      </c>
    </row>
    <row r="160" spans="1:10" ht="15.95" customHeight="1" x14ac:dyDescent="0.2">
      <c r="A160" s="33" t="s">
        <v>272</v>
      </c>
      <c r="B160" s="369" t="s">
        <v>273</v>
      </c>
      <c r="C160" s="370"/>
      <c r="D160" s="370"/>
      <c r="E160" s="27">
        <v>8024.38</v>
      </c>
      <c r="F160" s="27">
        <v>0</v>
      </c>
      <c r="H160" s="27">
        <v>0</v>
      </c>
      <c r="J160" s="27">
        <v>8024.38</v>
      </c>
    </row>
    <row r="161" spans="1:10" ht="15.95" customHeight="1" x14ac:dyDescent="0.2">
      <c r="A161" s="33">
        <v>123</v>
      </c>
      <c r="B161" s="369" t="s">
        <v>274</v>
      </c>
      <c r="C161" s="370"/>
      <c r="D161" s="370"/>
      <c r="E161" s="27">
        <v>322168427.23000002</v>
      </c>
      <c r="F161" s="27">
        <v>36168850.289999999</v>
      </c>
      <c r="H161" s="27">
        <v>49518986.469999999</v>
      </c>
      <c r="J161" s="27">
        <v>308818291.05000001</v>
      </c>
    </row>
    <row r="162" spans="1:10" ht="15.95" customHeight="1" x14ac:dyDescent="0.2">
      <c r="A162" s="33">
        <v>12301</v>
      </c>
      <c r="B162" s="369" t="s">
        <v>274</v>
      </c>
      <c r="C162" s="370"/>
      <c r="D162" s="370"/>
      <c r="E162" s="27">
        <v>402823127.56</v>
      </c>
      <c r="F162" s="27">
        <v>34669988.189999998</v>
      </c>
      <c r="H162" s="27">
        <v>42430708.950000003</v>
      </c>
      <c r="J162" s="27">
        <v>395062406.80000001</v>
      </c>
    </row>
    <row r="163" spans="1:10" ht="15.95" customHeight="1" x14ac:dyDescent="0.2">
      <c r="A163" s="33">
        <v>1230101</v>
      </c>
      <c r="B163" s="369" t="s">
        <v>275</v>
      </c>
      <c r="C163" s="370"/>
      <c r="D163" s="370"/>
      <c r="E163" s="27">
        <v>14974342.1</v>
      </c>
      <c r="F163" s="27">
        <v>400</v>
      </c>
      <c r="H163" s="27">
        <v>0</v>
      </c>
      <c r="J163" s="27">
        <v>14974742.1</v>
      </c>
    </row>
    <row r="164" spans="1:10" ht="15.95" customHeight="1" x14ac:dyDescent="0.2">
      <c r="A164" s="33" t="s">
        <v>276</v>
      </c>
      <c r="B164" s="369" t="s">
        <v>277</v>
      </c>
      <c r="C164" s="370"/>
      <c r="D164" s="370"/>
      <c r="E164" s="27">
        <v>65660.77</v>
      </c>
      <c r="F164" s="27">
        <v>0</v>
      </c>
      <c r="H164" s="27">
        <v>0</v>
      </c>
      <c r="J164" s="27">
        <v>65660.77</v>
      </c>
    </row>
    <row r="165" spans="1:10" ht="15.95" customHeight="1" x14ac:dyDescent="0.2">
      <c r="A165" s="33" t="s">
        <v>278</v>
      </c>
      <c r="B165" s="369" t="s">
        <v>279</v>
      </c>
      <c r="C165" s="370"/>
      <c r="D165" s="370"/>
      <c r="E165" s="27">
        <v>12832.06</v>
      </c>
      <c r="F165" s="27">
        <v>0</v>
      </c>
      <c r="H165" s="27">
        <v>0</v>
      </c>
      <c r="J165" s="27">
        <v>12832.06</v>
      </c>
    </row>
    <row r="166" spans="1:10" ht="15.95" customHeight="1" x14ac:dyDescent="0.2">
      <c r="A166" s="33" t="s">
        <v>280</v>
      </c>
      <c r="B166" s="369" t="s">
        <v>281</v>
      </c>
      <c r="C166" s="370"/>
      <c r="D166" s="370"/>
      <c r="E166" s="27">
        <v>1204903.52</v>
      </c>
      <c r="F166" s="27">
        <v>0</v>
      </c>
      <c r="H166" s="27">
        <v>0</v>
      </c>
      <c r="J166" s="27">
        <v>1204903.52</v>
      </c>
    </row>
    <row r="167" spans="1:10" ht="15.95" customHeight="1" x14ac:dyDescent="0.2">
      <c r="A167" s="33" t="s">
        <v>282</v>
      </c>
      <c r="B167" s="369" t="s">
        <v>283</v>
      </c>
      <c r="C167" s="370"/>
      <c r="D167" s="370"/>
      <c r="E167" s="27">
        <v>9692277.8000000007</v>
      </c>
      <c r="F167" s="27">
        <v>0</v>
      </c>
      <c r="H167" s="27">
        <v>0</v>
      </c>
      <c r="J167" s="27">
        <v>9692277.8000000007</v>
      </c>
    </row>
    <row r="168" spans="1:10" ht="15.95" customHeight="1" x14ac:dyDescent="0.2">
      <c r="A168" s="33" t="s">
        <v>284</v>
      </c>
      <c r="B168" s="369" t="s">
        <v>285</v>
      </c>
      <c r="C168" s="370"/>
      <c r="D168" s="370"/>
      <c r="E168" s="27">
        <v>666282.91</v>
      </c>
      <c r="F168" s="27">
        <v>400</v>
      </c>
      <c r="H168" s="27">
        <v>0</v>
      </c>
      <c r="J168" s="27">
        <v>666682.91</v>
      </c>
    </row>
    <row r="169" spans="1:10" ht="15.95" customHeight="1" x14ac:dyDescent="0.2">
      <c r="A169" s="33" t="s">
        <v>286</v>
      </c>
      <c r="B169" s="369" t="s">
        <v>287</v>
      </c>
      <c r="C169" s="370"/>
      <c r="D169" s="370"/>
      <c r="E169" s="27">
        <v>1279140.06</v>
      </c>
      <c r="F169" s="27">
        <v>0</v>
      </c>
      <c r="H169" s="27">
        <v>0</v>
      </c>
      <c r="J169" s="27">
        <v>1279140.06</v>
      </c>
    </row>
    <row r="170" spans="1:10" ht="15.95" customHeight="1" x14ac:dyDescent="0.2">
      <c r="A170" s="33" t="s">
        <v>288</v>
      </c>
      <c r="B170" s="369" t="s">
        <v>289</v>
      </c>
      <c r="C170" s="370"/>
      <c r="D170" s="370"/>
      <c r="E170" s="27">
        <v>1259543.1399999999</v>
      </c>
      <c r="F170" s="27">
        <v>0</v>
      </c>
      <c r="H170" s="27">
        <v>0</v>
      </c>
      <c r="J170" s="27">
        <v>1259543.1399999999</v>
      </c>
    </row>
    <row r="171" spans="1:10" ht="15.95" customHeight="1" x14ac:dyDescent="0.2">
      <c r="A171" s="33" t="s">
        <v>290</v>
      </c>
      <c r="B171" s="369" t="s">
        <v>291</v>
      </c>
      <c r="C171" s="370"/>
      <c r="D171" s="370"/>
      <c r="E171" s="27">
        <v>778347.84</v>
      </c>
      <c r="F171" s="27">
        <v>0</v>
      </c>
      <c r="H171" s="27">
        <v>0</v>
      </c>
      <c r="J171" s="27">
        <v>778347.84</v>
      </c>
    </row>
    <row r="172" spans="1:10" ht="15.95" customHeight="1" x14ac:dyDescent="0.2">
      <c r="A172" s="33" t="s">
        <v>292</v>
      </c>
      <c r="B172" s="369" t="s">
        <v>293</v>
      </c>
      <c r="C172" s="370"/>
      <c r="D172" s="370"/>
      <c r="E172" s="27">
        <v>15354</v>
      </c>
      <c r="F172" s="27">
        <v>0</v>
      </c>
      <c r="H172" s="27">
        <v>0</v>
      </c>
      <c r="J172" s="27">
        <v>15354</v>
      </c>
    </row>
    <row r="173" spans="1:10" ht="15.95" customHeight="1" x14ac:dyDescent="0.2">
      <c r="A173" s="33">
        <v>1230102</v>
      </c>
      <c r="B173" s="369" t="s">
        <v>296</v>
      </c>
      <c r="C173" s="370"/>
      <c r="D173" s="370"/>
      <c r="E173" s="27">
        <v>115537342.59999999</v>
      </c>
      <c r="F173" s="27">
        <v>34623941.630000003</v>
      </c>
      <c r="H173" s="27">
        <v>5663856.9400000004</v>
      </c>
      <c r="J173" s="27">
        <v>144497427.28999999</v>
      </c>
    </row>
    <row r="174" spans="1:10" ht="15.95" customHeight="1" x14ac:dyDescent="0.2">
      <c r="A174" s="33" t="s">
        <v>297</v>
      </c>
      <c r="B174" s="369" t="s">
        <v>298</v>
      </c>
      <c r="C174" s="370"/>
      <c r="D174" s="370"/>
      <c r="E174" s="27">
        <v>1770.62</v>
      </c>
      <c r="F174" s="27">
        <v>0</v>
      </c>
      <c r="H174" s="27">
        <v>0</v>
      </c>
      <c r="J174" s="27">
        <v>1770.62</v>
      </c>
    </row>
    <row r="175" spans="1:10" ht="15.95" customHeight="1" x14ac:dyDescent="0.2">
      <c r="A175" s="33" t="s">
        <v>299</v>
      </c>
      <c r="B175" s="369" t="s">
        <v>300</v>
      </c>
      <c r="C175" s="370"/>
      <c r="D175" s="370"/>
      <c r="E175" s="27">
        <v>14979891.75</v>
      </c>
      <c r="F175" s="27">
        <v>0</v>
      </c>
      <c r="H175" s="27">
        <v>609670.02</v>
      </c>
      <c r="J175" s="27">
        <v>14370221.73</v>
      </c>
    </row>
    <row r="176" spans="1:10" ht="15.95" customHeight="1" x14ac:dyDescent="0.2">
      <c r="A176" s="33" t="s">
        <v>301</v>
      </c>
      <c r="B176" s="369" t="s">
        <v>302</v>
      </c>
      <c r="C176" s="370"/>
      <c r="D176" s="370"/>
      <c r="E176" s="27">
        <v>4450.58</v>
      </c>
      <c r="F176" s="27">
        <v>0</v>
      </c>
      <c r="H176" s="27">
        <v>0</v>
      </c>
      <c r="J176" s="27">
        <v>4450.58</v>
      </c>
    </row>
    <row r="177" spans="1:10" ht="15.95" customHeight="1" x14ac:dyDescent="0.2">
      <c r="A177" s="33" t="s">
        <v>303</v>
      </c>
      <c r="B177" s="369" t="s">
        <v>304</v>
      </c>
      <c r="C177" s="370"/>
      <c r="D177" s="370"/>
      <c r="E177" s="27">
        <v>3018715.09</v>
      </c>
      <c r="F177" s="27">
        <v>22053699.48</v>
      </c>
      <c r="H177" s="27">
        <v>1048631.78</v>
      </c>
      <c r="J177" s="27">
        <v>24023782.789999999</v>
      </c>
    </row>
    <row r="178" spans="1:10" ht="15.95" customHeight="1" x14ac:dyDescent="0.2">
      <c r="A178" s="33" t="s">
        <v>305</v>
      </c>
      <c r="B178" s="369" t="s">
        <v>306</v>
      </c>
      <c r="C178" s="370"/>
      <c r="D178" s="370"/>
      <c r="E178" s="27">
        <v>59377048.119999997</v>
      </c>
      <c r="F178" s="27">
        <v>598141.6</v>
      </c>
      <c r="H178" s="27">
        <v>0</v>
      </c>
      <c r="J178" s="27">
        <v>59975189.719999999</v>
      </c>
    </row>
    <row r="179" spans="1:10" ht="27.95" customHeight="1" x14ac:dyDescent="0.2">
      <c r="A179" s="33" t="s">
        <v>307</v>
      </c>
      <c r="B179" s="369" t="s">
        <v>308</v>
      </c>
      <c r="C179" s="370"/>
      <c r="D179" s="370"/>
      <c r="E179" s="27">
        <v>9551045.0299999993</v>
      </c>
      <c r="F179" s="27">
        <v>6900377.1699999999</v>
      </c>
      <c r="H179" s="27">
        <v>0</v>
      </c>
      <c r="J179" s="27">
        <v>16451422.199999999</v>
      </c>
    </row>
    <row r="180" spans="1:10" ht="15.95" customHeight="1" x14ac:dyDescent="0.2">
      <c r="A180" s="401" t="s">
        <v>1441</v>
      </c>
      <c r="B180" s="370"/>
      <c r="C180" s="370"/>
      <c r="D180" s="102" t="s">
        <v>1744</v>
      </c>
      <c r="J180" s="103" t="s">
        <v>1745</v>
      </c>
    </row>
    <row r="181" spans="1:10" ht="20.100000000000001" customHeight="1" x14ac:dyDescent="0.2">
      <c r="A181" s="99" t="s">
        <v>1424</v>
      </c>
      <c r="J181" s="100" t="s">
        <v>1748</v>
      </c>
    </row>
    <row r="182" spans="1:10" ht="15.95" customHeight="1" x14ac:dyDescent="0.2">
      <c r="A182" s="33" t="s">
        <v>1739</v>
      </c>
      <c r="C182" s="33" t="s">
        <v>0</v>
      </c>
      <c r="J182" s="27" t="s">
        <v>1740</v>
      </c>
    </row>
    <row r="183" spans="1:10" ht="14.1" customHeight="1" x14ac:dyDescent="0.2">
      <c r="A183" s="101" t="s">
        <v>1741</v>
      </c>
      <c r="J183" s="27" t="s">
        <v>1742</v>
      </c>
    </row>
    <row r="184" spans="1:10" ht="15" customHeight="1" x14ac:dyDescent="0.2">
      <c r="A184" s="101" t="s">
        <v>1743</v>
      </c>
    </row>
    <row r="185" spans="1:10" ht="23.1" customHeight="1" x14ac:dyDescent="0.2">
      <c r="A185" s="23" t="s">
        <v>55</v>
      </c>
      <c r="B185" s="23" t="s">
        <v>56</v>
      </c>
      <c r="E185" s="24" t="s">
        <v>57</v>
      </c>
      <c r="F185" s="24" t="s">
        <v>58</v>
      </c>
      <c r="H185" s="24" t="s">
        <v>59</v>
      </c>
      <c r="J185" s="24" t="s">
        <v>60</v>
      </c>
    </row>
    <row r="186" spans="1:10" ht="15.95" customHeight="1" x14ac:dyDescent="0.2">
      <c r="A186" s="33" t="s">
        <v>309</v>
      </c>
      <c r="B186" s="369" t="s">
        <v>310</v>
      </c>
      <c r="C186" s="370"/>
      <c r="D186" s="370"/>
      <c r="E186" s="27">
        <v>501889.3</v>
      </c>
      <c r="F186" s="27">
        <v>0</v>
      </c>
      <c r="H186" s="27">
        <v>0</v>
      </c>
      <c r="J186" s="27">
        <v>501889.3</v>
      </c>
    </row>
    <row r="187" spans="1:10" ht="15.95" customHeight="1" x14ac:dyDescent="0.2">
      <c r="A187" s="33" t="s">
        <v>311</v>
      </c>
      <c r="B187" s="369" t="s">
        <v>312</v>
      </c>
      <c r="C187" s="370"/>
      <c r="D187" s="370"/>
      <c r="E187" s="27">
        <v>95202.46</v>
      </c>
      <c r="F187" s="27">
        <v>0</v>
      </c>
      <c r="H187" s="27">
        <v>0</v>
      </c>
      <c r="J187" s="27">
        <v>95202.46</v>
      </c>
    </row>
    <row r="188" spans="1:10" ht="15.95" customHeight="1" x14ac:dyDescent="0.2">
      <c r="A188" s="33" t="s">
        <v>313</v>
      </c>
      <c r="B188" s="369" t="s">
        <v>314</v>
      </c>
      <c r="C188" s="370"/>
      <c r="D188" s="370"/>
      <c r="E188" s="27">
        <v>13925.73</v>
      </c>
      <c r="F188" s="27">
        <v>0</v>
      </c>
      <c r="H188" s="27">
        <v>0</v>
      </c>
      <c r="J188" s="27">
        <v>13925.73</v>
      </c>
    </row>
    <row r="189" spans="1:10" ht="15.95" customHeight="1" x14ac:dyDescent="0.2">
      <c r="A189" s="33" t="s">
        <v>315</v>
      </c>
      <c r="B189" s="369" t="s">
        <v>316</v>
      </c>
      <c r="C189" s="370"/>
      <c r="D189" s="370"/>
      <c r="E189" s="27">
        <v>12484345.49</v>
      </c>
      <c r="F189" s="27">
        <v>0</v>
      </c>
      <c r="H189" s="27">
        <v>0</v>
      </c>
      <c r="J189" s="27">
        <v>12484345.49</v>
      </c>
    </row>
    <row r="190" spans="1:10" ht="15.95" customHeight="1" x14ac:dyDescent="0.2">
      <c r="A190" s="33" t="s">
        <v>317</v>
      </c>
      <c r="B190" s="369" t="s">
        <v>318</v>
      </c>
      <c r="C190" s="370"/>
      <c r="D190" s="370"/>
      <c r="E190" s="27">
        <v>984332.14</v>
      </c>
      <c r="F190" s="27">
        <v>0</v>
      </c>
      <c r="H190" s="27">
        <v>0</v>
      </c>
      <c r="J190" s="27">
        <v>984332.14</v>
      </c>
    </row>
    <row r="191" spans="1:10" ht="15.95" customHeight="1" x14ac:dyDescent="0.2">
      <c r="A191" s="33" t="s">
        <v>319</v>
      </c>
      <c r="B191" s="369" t="s">
        <v>320</v>
      </c>
      <c r="C191" s="370"/>
      <c r="D191" s="370"/>
      <c r="E191" s="27">
        <v>600371.77</v>
      </c>
      <c r="F191" s="27">
        <v>0</v>
      </c>
      <c r="H191" s="27">
        <v>0</v>
      </c>
      <c r="J191" s="27">
        <v>600371.77</v>
      </c>
    </row>
    <row r="192" spans="1:10" ht="15.95" customHeight="1" x14ac:dyDescent="0.2">
      <c r="A192" s="33" t="s">
        <v>321</v>
      </c>
      <c r="B192" s="369" t="s">
        <v>322</v>
      </c>
      <c r="C192" s="370"/>
      <c r="D192" s="370"/>
      <c r="E192" s="27">
        <v>123943.43</v>
      </c>
      <c r="F192" s="27">
        <v>0</v>
      </c>
      <c r="H192" s="27">
        <v>0</v>
      </c>
      <c r="J192" s="27">
        <v>123943.43</v>
      </c>
    </row>
    <row r="193" spans="1:10" ht="15.95" customHeight="1" x14ac:dyDescent="0.2">
      <c r="A193" s="33" t="s">
        <v>323</v>
      </c>
      <c r="B193" s="369" t="s">
        <v>324</v>
      </c>
      <c r="C193" s="370"/>
      <c r="D193" s="370"/>
      <c r="E193" s="27">
        <v>149.38</v>
      </c>
      <c r="F193" s="27">
        <v>0</v>
      </c>
      <c r="H193" s="27">
        <v>0</v>
      </c>
      <c r="J193" s="27">
        <v>149.38</v>
      </c>
    </row>
    <row r="194" spans="1:10" ht="15.95" customHeight="1" x14ac:dyDescent="0.2">
      <c r="A194" s="33" t="s">
        <v>325</v>
      </c>
      <c r="B194" s="369" t="s">
        <v>326</v>
      </c>
      <c r="C194" s="370"/>
      <c r="D194" s="370"/>
      <c r="E194" s="27">
        <v>2942111.51</v>
      </c>
      <c r="F194" s="27">
        <v>0</v>
      </c>
      <c r="H194" s="27">
        <v>0</v>
      </c>
      <c r="J194" s="27">
        <v>2942111.51</v>
      </c>
    </row>
    <row r="195" spans="1:10" ht="15.95" customHeight="1" x14ac:dyDescent="0.2">
      <c r="A195" s="33" t="s">
        <v>327</v>
      </c>
      <c r="B195" s="369" t="s">
        <v>328</v>
      </c>
      <c r="C195" s="370"/>
      <c r="D195" s="370"/>
      <c r="E195" s="27">
        <v>1970.82</v>
      </c>
      <c r="F195" s="27">
        <v>0</v>
      </c>
      <c r="H195" s="27">
        <v>0</v>
      </c>
      <c r="J195" s="27">
        <v>1970.82</v>
      </c>
    </row>
    <row r="196" spans="1:10" ht="15.95" customHeight="1" x14ac:dyDescent="0.2">
      <c r="A196" s="33" t="s">
        <v>329</v>
      </c>
      <c r="B196" s="369" t="s">
        <v>330</v>
      </c>
      <c r="C196" s="370"/>
      <c r="D196" s="370"/>
      <c r="E196" s="27">
        <v>468475.02</v>
      </c>
      <c r="F196" s="27">
        <v>0</v>
      </c>
      <c r="H196" s="27">
        <v>0</v>
      </c>
      <c r="J196" s="27">
        <v>468475.02</v>
      </c>
    </row>
    <row r="197" spans="1:10" ht="15.95" customHeight="1" x14ac:dyDescent="0.2">
      <c r="A197" s="33" t="s">
        <v>331</v>
      </c>
      <c r="B197" s="369" t="s">
        <v>332</v>
      </c>
      <c r="C197" s="370"/>
      <c r="D197" s="370"/>
      <c r="E197" s="27">
        <v>7045901.6699999999</v>
      </c>
      <c r="F197" s="27">
        <v>0</v>
      </c>
      <c r="H197" s="27">
        <v>0</v>
      </c>
      <c r="J197" s="27">
        <v>7045901.6699999999</v>
      </c>
    </row>
    <row r="198" spans="1:10" ht="15.95" customHeight="1" x14ac:dyDescent="0.2">
      <c r="A198" s="33" t="s">
        <v>333</v>
      </c>
      <c r="B198" s="369" t="s">
        <v>334</v>
      </c>
      <c r="C198" s="370"/>
      <c r="D198" s="370"/>
      <c r="E198" s="27">
        <v>1224566.5900000001</v>
      </c>
      <c r="F198" s="27">
        <v>0</v>
      </c>
      <c r="H198" s="27">
        <v>0</v>
      </c>
      <c r="J198" s="27">
        <v>1224566.5900000001</v>
      </c>
    </row>
    <row r="199" spans="1:10" ht="15.95" customHeight="1" x14ac:dyDescent="0.2">
      <c r="A199" s="33" t="s">
        <v>335</v>
      </c>
      <c r="B199" s="369" t="s">
        <v>336</v>
      </c>
      <c r="C199" s="370"/>
      <c r="D199" s="370"/>
      <c r="E199" s="27">
        <v>2117236.1</v>
      </c>
      <c r="F199" s="27">
        <v>0</v>
      </c>
      <c r="H199" s="27">
        <v>0</v>
      </c>
      <c r="J199" s="27">
        <v>2117236.1</v>
      </c>
    </row>
    <row r="200" spans="1:10" ht="15.95" customHeight="1" x14ac:dyDescent="0.2">
      <c r="A200" s="33" t="s">
        <v>337</v>
      </c>
      <c r="B200" s="369" t="s">
        <v>338</v>
      </c>
      <c r="C200" s="370"/>
      <c r="D200" s="370"/>
      <c r="E200" s="27">
        <v>0</v>
      </c>
      <c r="F200" s="27">
        <v>5071723.38</v>
      </c>
      <c r="H200" s="27">
        <v>4005555.14</v>
      </c>
      <c r="J200" s="27">
        <v>1066168.24</v>
      </c>
    </row>
    <row r="201" spans="1:10" ht="15.95" customHeight="1" x14ac:dyDescent="0.2">
      <c r="A201" s="33">
        <v>1230103</v>
      </c>
      <c r="B201" s="369" t="s">
        <v>339</v>
      </c>
      <c r="C201" s="370"/>
      <c r="D201" s="370"/>
      <c r="E201" s="27">
        <v>35013647.759999998</v>
      </c>
      <c r="F201" s="27">
        <v>45646.559999999998</v>
      </c>
      <c r="H201" s="27">
        <v>34025800.030000001</v>
      </c>
      <c r="J201" s="27">
        <v>1033494.29</v>
      </c>
    </row>
    <row r="202" spans="1:10" ht="15.95" customHeight="1" x14ac:dyDescent="0.2">
      <c r="A202" s="33" t="s">
        <v>1478</v>
      </c>
      <c r="B202" s="369" t="s">
        <v>1479</v>
      </c>
      <c r="C202" s="370"/>
      <c r="D202" s="370"/>
      <c r="E202" s="27">
        <v>1432134.18</v>
      </c>
      <c r="F202" s="27">
        <v>0</v>
      </c>
      <c r="H202" s="27">
        <v>1432134.18</v>
      </c>
      <c r="J202" s="27">
        <v>0</v>
      </c>
    </row>
    <row r="203" spans="1:10" ht="15.95" customHeight="1" x14ac:dyDescent="0.2">
      <c r="A203" s="33" t="s">
        <v>1480</v>
      </c>
      <c r="B203" s="369" t="s">
        <v>1481</v>
      </c>
      <c r="C203" s="370"/>
      <c r="D203" s="370"/>
      <c r="E203" s="27">
        <v>5468242.9900000002</v>
      </c>
      <c r="F203" s="27">
        <v>0</v>
      </c>
      <c r="H203" s="27">
        <v>5468242.9900000002</v>
      </c>
      <c r="J203" s="27">
        <v>0</v>
      </c>
    </row>
    <row r="204" spans="1:10" ht="15.95" customHeight="1" x14ac:dyDescent="0.2">
      <c r="A204" s="33" t="s">
        <v>1482</v>
      </c>
      <c r="B204" s="369" t="s">
        <v>1483</v>
      </c>
      <c r="C204" s="370"/>
      <c r="D204" s="370"/>
      <c r="E204" s="27">
        <v>22053699.48</v>
      </c>
      <c r="F204" s="27">
        <v>0</v>
      </c>
      <c r="H204" s="27">
        <v>22053699.48</v>
      </c>
      <c r="J204" s="27">
        <v>0</v>
      </c>
    </row>
    <row r="205" spans="1:10" ht="15.95" customHeight="1" x14ac:dyDescent="0.2">
      <c r="A205" s="33" t="s">
        <v>1484</v>
      </c>
      <c r="B205" s="369" t="s">
        <v>1485</v>
      </c>
      <c r="C205" s="370"/>
      <c r="D205" s="370"/>
      <c r="E205" s="27">
        <v>5071723.38</v>
      </c>
      <c r="F205" s="27">
        <v>0</v>
      </c>
      <c r="H205" s="27">
        <v>5071723.38</v>
      </c>
      <c r="J205" s="27">
        <v>0</v>
      </c>
    </row>
    <row r="206" spans="1:10" ht="15.95" customHeight="1" x14ac:dyDescent="0.2">
      <c r="A206" s="33" t="s">
        <v>340</v>
      </c>
      <c r="B206" s="369" t="s">
        <v>341</v>
      </c>
      <c r="C206" s="370"/>
      <c r="D206" s="370"/>
      <c r="E206" s="27">
        <v>382225.69</v>
      </c>
      <c r="F206" s="27">
        <v>0</v>
      </c>
      <c r="H206" s="27">
        <v>0</v>
      </c>
      <c r="J206" s="27">
        <v>382225.69</v>
      </c>
    </row>
    <row r="207" spans="1:10" ht="15.95" customHeight="1" x14ac:dyDescent="0.2">
      <c r="A207" s="33" t="s">
        <v>1486</v>
      </c>
      <c r="B207" s="369" t="s">
        <v>295</v>
      </c>
      <c r="C207" s="370"/>
      <c r="D207" s="370"/>
      <c r="E207" s="27">
        <v>605622.04</v>
      </c>
      <c r="F207" s="27">
        <v>45646.559999999998</v>
      </c>
      <c r="H207" s="27">
        <v>0</v>
      </c>
      <c r="J207" s="27">
        <v>651268.6</v>
      </c>
    </row>
    <row r="208" spans="1:10" ht="15.95" customHeight="1" x14ac:dyDescent="0.2">
      <c r="A208" s="33">
        <v>1230104</v>
      </c>
      <c r="B208" s="369" t="s">
        <v>342</v>
      </c>
      <c r="C208" s="370"/>
      <c r="D208" s="370"/>
      <c r="E208" s="27">
        <v>1626929.13</v>
      </c>
      <c r="F208" s="27">
        <v>0</v>
      </c>
      <c r="H208" s="27">
        <v>0</v>
      </c>
      <c r="J208" s="27">
        <v>1626929.13</v>
      </c>
    </row>
    <row r="209" spans="1:10" ht="15.95" customHeight="1" x14ac:dyDescent="0.2">
      <c r="A209" s="33" t="s">
        <v>343</v>
      </c>
      <c r="B209" s="369" t="s">
        <v>344</v>
      </c>
      <c r="C209" s="370"/>
      <c r="D209" s="370"/>
      <c r="E209" s="27">
        <v>527833.12</v>
      </c>
      <c r="F209" s="27">
        <v>0</v>
      </c>
      <c r="H209" s="27">
        <v>0</v>
      </c>
      <c r="J209" s="27">
        <v>527833.12</v>
      </c>
    </row>
    <row r="210" spans="1:10" ht="15.95" customHeight="1" x14ac:dyDescent="0.2">
      <c r="A210" s="33" t="s">
        <v>345</v>
      </c>
      <c r="B210" s="369" t="s">
        <v>346</v>
      </c>
      <c r="C210" s="370"/>
      <c r="D210" s="370"/>
      <c r="E210" s="27">
        <v>140000</v>
      </c>
      <c r="F210" s="27">
        <v>0</v>
      </c>
      <c r="H210" s="27">
        <v>0</v>
      </c>
      <c r="J210" s="27">
        <v>140000</v>
      </c>
    </row>
    <row r="211" spans="1:10" ht="15.95" customHeight="1" x14ac:dyDescent="0.2">
      <c r="A211" s="33" t="s">
        <v>347</v>
      </c>
      <c r="B211" s="369" t="s">
        <v>348</v>
      </c>
      <c r="C211" s="370"/>
      <c r="D211" s="370"/>
      <c r="E211" s="27">
        <v>959096.01</v>
      </c>
      <c r="F211" s="27">
        <v>0</v>
      </c>
      <c r="H211" s="27">
        <v>0</v>
      </c>
      <c r="J211" s="27">
        <v>959096.01</v>
      </c>
    </row>
    <row r="212" spans="1:10" ht="15.95" customHeight="1" x14ac:dyDescent="0.2">
      <c r="A212" s="33">
        <v>1230105</v>
      </c>
      <c r="B212" s="369" t="s">
        <v>349</v>
      </c>
      <c r="C212" s="370"/>
      <c r="D212" s="370"/>
      <c r="E212" s="27">
        <v>238454443.41</v>
      </c>
      <c r="F212" s="27">
        <v>0</v>
      </c>
      <c r="H212" s="27">
        <v>0</v>
      </c>
      <c r="J212" s="27">
        <v>238454443.41</v>
      </c>
    </row>
    <row r="213" spans="1:10" ht="15.95" customHeight="1" x14ac:dyDescent="0.2">
      <c r="A213" s="33" t="s">
        <v>350</v>
      </c>
      <c r="B213" s="369" t="s">
        <v>351</v>
      </c>
      <c r="C213" s="370"/>
      <c r="D213" s="370"/>
      <c r="E213" s="27">
        <v>231979697.44</v>
      </c>
      <c r="F213" s="27">
        <v>0</v>
      </c>
      <c r="H213" s="27">
        <v>0</v>
      </c>
      <c r="J213" s="27">
        <v>231979697.44</v>
      </c>
    </row>
    <row r="214" spans="1:10" ht="15.95" customHeight="1" x14ac:dyDescent="0.2">
      <c r="A214" s="33" t="s">
        <v>352</v>
      </c>
      <c r="B214" s="369" t="s">
        <v>353</v>
      </c>
      <c r="C214" s="370"/>
      <c r="D214" s="370"/>
      <c r="E214" s="27">
        <v>1093994.98</v>
      </c>
      <c r="F214" s="27">
        <v>0</v>
      </c>
      <c r="H214" s="27">
        <v>0</v>
      </c>
      <c r="J214" s="27">
        <v>1093994.98</v>
      </c>
    </row>
    <row r="215" spans="1:10" ht="15.95" customHeight="1" x14ac:dyDescent="0.2">
      <c r="A215" s="33" t="s">
        <v>354</v>
      </c>
      <c r="B215" s="369" t="s">
        <v>355</v>
      </c>
      <c r="C215" s="370"/>
      <c r="D215" s="370"/>
      <c r="E215" s="27">
        <v>3533050.99</v>
      </c>
      <c r="F215" s="27">
        <v>0</v>
      </c>
      <c r="H215" s="27">
        <v>0</v>
      </c>
      <c r="J215" s="27">
        <v>3533050.99</v>
      </c>
    </row>
    <row r="216" spans="1:10" ht="15.95" customHeight="1" x14ac:dyDescent="0.2">
      <c r="A216" s="33" t="s">
        <v>356</v>
      </c>
      <c r="B216" s="369" t="s">
        <v>357</v>
      </c>
      <c r="C216" s="370"/>
      <c r="D216" s="370"/>
      <c r="E216" s="27">
        <v>6700</v>
      </c>
      <c r="F216" s="27">
        <v>0</v>
      </c>
      <c r="H216" s="27">
        <v>0</v>
      </c>
      <c r="J216" s="27">
        <v>6700</v>
      </c>
    </row>
    <row r="217" spans="1:10" ht="15.95" customHeight="1" x14ac:dyDescent="0.2">
      <c r="A217" s="33" t="s">
        <v>358</v>
      </c>
      <c r="B217" s="369" t="s">
        <v>359</v>
      </c>
      <c r="C217" s="370"/>
      <c r="D217" s="370"/>
      <c r="E217" s="27">
        <v>1841000</v>
      </c>
      <c r="F217" s="27">
        <v>0</v>
      </c>
      <c r="H217" s="27">
        <v>0</v>
      </c>
      <c r="J217" s="27">
        <v>1841000</v>
      </c>
    </row>
    <row r="218" spans="1:10" ht="15.95" customHeight="1" x14ac:dyDescent="0.2">
      <c r="A218" s="33">
        <v>1230108</v>
      </c>
      <c r="B218" s="369" t="s">
        <v>360</v>
      </c>
      <c r="C218" s="370"/>
      <c r="D218" s="370"/>
      <c r="E218" s="27">
        <v>-2783577.44</v>
      </c>
      <c r="F218" s="27">
        <v>0</v>
      </c>
      <c r="H218" s="27">
        <v>2741051.98</v>
      </c>
      <c r="J218" s="27">
        <v>-5524629.4199999999</v>
      </c>
    </row>
    <row r="219" spans="1:10" ht="15.95" customHeight="1" x14ac:dyDescent="0.2">
      <c r="A219" s="33" t="s">
        <v>361</v>
      </c>
      <c r="B219" s="369" t="s">
        <v>362</v>
      </c>
      <c r="C219" s="370"/>
      <c r="D219" s="370"/>
      <c r="E219" s="27">
        <v>-18424.2</v>
      </c>
      <c r="F219" s="27">
        <v>0</v>
      </c>
      <c r="H219" s="27">
        <v>0</v>
      </c>
      <c r="J219" s="27">
        <v>-18424.2</v>
      </c>
    </row>
    <row r="220" spans="1:10" ht="15.95" customHeight="1" x14ac:dyDescent="0.2">
      <c r="A220" s="33" t="s">
        <v>363</v>
      </c>
      <c r="B220" s="369" t="s">
        <v>364</v>
      </c>
      <c r="C220" s="370"/>
      <c r="D220" s="370"/>
      <c r="E220" s="27">
        <v>-170198.69</v>
      </c>
      <c r="F220" s="27">
        <v>0</v>
      </c>
      <c r="H220" s="27">
        <v>0</v>
      </c>
      <c r="J220" s="27">
        <v>-170198.69</v>
      </c>
    </row>
    <row r="221" spans="1:10" ht="15.95" customHeight="1" x14ac:dyDescent="0.2">
      <c r="A221" s="33" t="s">
        <v>365</v>
      </c>
      <c r="B221" s="369" t="s">
        <v>366</v>
      </c>
      <c r="C221" s="370"/>
      <c r="D221" s="370"/>
      <c r="E221" s="27">
        <v>-23611.29</v>
      </c>
      <c r="F221" s="27">
        <v>0</v>
      </c>
      <c r="H221" s="27">
        <v>0</v>
      </c>
      <c r="J221" s="27">
        <v>-23611.29</v>
      </c>
    </row>
    <row r="222" spans="1:10" ht="15.95" customHeight="1" x14ac:dyDescent="0.2">
      <c r="A222" s="33" t="s">
        <v>367</v>
      </c>
      <c r="B222" s="369" t="s">
        <v>368</v>
      </c>
      <c r="C222" s="370"/>
      <c r="D222" s="370"/>
      <c r="E222" s="27">
        <v>-8308.92</v>
      </c>
      <c r="F222" s="27">
        <v>0</v>
      </c>
      <c r="H222" s="27">
        <v>0</v>
      </c>
      <c r="J222" s="27">
        <v>-8308.92</v>
      </c>
    </row>
    <row r="223" spans="1:10" ht="15.95" customHeight="1" x14ac:dyDescent="0.2">
      <c r="A223" s="33" t="s">
        <v>369</v>
      </c>
      <c r="B223" s="369" t="s">
        <v>370</v>
      </c>
      <c r="C223" s="370"/>
      <c r="D223" s="370"/>
      <c r="E223" s="27">
        <v>-4233.8599999999997</v>
      </c>
      <c r="F223" s="27">
        <v>0</v>
      </c>
      <c r="H223" s="27">
        <v>0</v>
      </c>
      <c r="J223" s="27">
        <v>-4233.8599999999997</v>
      </c>
    </row>
    <row r="224" spans="1:10" ht="15.95" customHeight="1" x14ac:dyDescent="0.2">
      <c r="A224" s="33" t="s">
        <v>371</v>
      </c>
      <c r="B224" s="369" t="s">
        <v>372</v>
      </c>
      <c r="C224" s="370"/>
      <c r="D224" s="370"/>
      <c r="E224" s="27">
        <v>-2729.37</v>
      </c>
      <c r="F224" s="27">
        <v>0</v>
      </c>
      <c r="H224" s="27">
        <v>0</v>
      </c>
      <c r="J224" s="27">
        <v>-2729.37</v>
      </c>
    </row>
    <row r="225" spans="1:10" ht="15.95" customHeight="1" x14ac:dyDescent="0.2">
      <c r="A225" s="33" t="s">
        <v>373</v>
      </c>
      <c r="B225" s="369" t="s">
        <v>374</v>
      </c>
      <c r="C225" s="370"/>
      <c r="D225" s="370"/>
      <c r="E225" s="27">
        <v>-3898.61</v>
      </c>
      <c r="F225" s="27">
        <v>0</v>
      </c>
      <c r="H225" s="27">
        <v>1349888.48</v>
      </c>
      <c r="J225" s="27">
        <v>-1353787.09</v>
      </c>
    </row>
    <row r="226" spans="1:10" ht="15.95" customHeight="1" x14ac:dyDescent="0.2">
      <c r="A226" s="33" t="s">
        <v>375</v>
      </c>
      <c r="B226" s="369" t="s">
        <v>376</v>
      </c>
      <c r="C226" s="370"/>
      <c r="D226" s="370"/>
      <c r="E226" s="27">
        <v>-12754.35</v>
      </c>
      <c r="F226" s="27">
        <v>0</v>
      </c>
      <c r="H226" s="27">
        <v>0</v>
      </c>
      <c r="J226" s="27">
        <v>-12754.35</v>
      </c>
    </row>
    <row r="227" spans="1:10" ht="15.95" customHeight="1" x14ac:dyDescent="0.2">
      <c r="A227" s="33" t="s">
        <v>377</v>
      </c>
      <c r="B227" s="369" t="s">
        <v>378</v>
      </c>
      <c r="C227" s="370"/>
      <c r="D227" s="370"/>
      <c r="E227" s="27">
        <v>-1798587.79</v>
      </c>
      <c r="F227" s="27">
        <v>0</v>
      </c>
      <c r="H227" s="27">
        <v>0</v>
      </c>
      <c r="J227" s="27">
        <v>-1798587.79</v>
      </c>
    </row>
    <row r="228" spans="1:10" ht="15.95" customHeight="1" x14ac:dyDescent="0.2">
      <c r="A228" s="33" t="s">
        <v>379</v>
      </c>
      <c r="B228" s="369" t="s">
        <v>380</v>
      </c>
      <c r="C228" s="370"/>
      <c r="D228" s="370"/>
      <c r="E228" s="27">
        <v>-7928.64</v>
      </c>
      <c r="F228" s="27">
        <v>0</v>
      </c>
      <c r="H228" s="27">
        <v>0</v>
      </c>
      <c r="J228" s="27">
        <v>-7928.64</v>
      </c>
    </row>
    <row r="229" spans="1:10" ht="15.95" customHeight="1" x14ac:dyDescent="0.2">
      <c r="A229" s="33" t="s">
        <v>381</v>
      </c>
      <c r="B229" s="369" t="s">
        <v>382</v>
      </c>
      <c r="C229" s="370"/>
      <c r="D229" s="370"/>
      <c r="E229" s="27">
        <v>-265.91000000000003</v>
      </c>
      <c r="F229" s="27">
        <v>0</v>
      </c>
      <c r="H229" s="27">
        <v>0</v>
      </c>
      <c r="J229" s="27">
        <v>-265.91000000000003</v>
      </c>
    </row>
    <row r="230" spans="1:10" ht="15.95" customHeight="1" x14ac:dyDescent="0.2">
      <c r="A230" s="33" t="s">
        <v>383</v>
      </c>
      <c r="B230" s="369" t="s">
        <v>384</v>
      </c>
      <c r="C230" s="370"/>
      <c r="D230" s="370"/>
      <c r="E230" s="27">
        <v>-87964.72</v>
      </c>
      <c r="F230" s="27">
        <v>0</v>
      </c>
      <c r="H230" s="27">
        <v>0</v>
      </c>
      <c r="J230" s="27">
        <v>-87964.72</v>
      </c>
    </row>
    <row r="231" spans="1:10" ht="15.95" customHeight="1" x14ac:dyDescent="0.2">
      <c r="A231" s="33" t="s">
        <v>385</v>
      </c>
      <c r="B231" s="369" t="s">
        <v>386</v>
      </c>
      <c r="C231" s="370"/>
      <c r="D231" s="370"/>
      <c r="E231" s="27">
        <v>-86928.73</v>
      </c>
      <c r="F231" s="27">
        <v>0</v>
      </c>
      <c r="H231" s="27">
        <v>1221209.32</v>
      </c>
      <c r="J231" s="27">
        <v>-1308138.05</v>
      </c>
    </row>
    <row r="232" spans="1:10" ht="15.95" customHeight="1" x14ac:dyDescent="0.2">
      <c r="A232" s="33" t="s">
        <v>387</v>
      </c>
      <c r="B232" s="369" t="s">
        <v>388</v>
      </c>
      <c r="C232" s="370"/>
      <c r="D232" s="370"/>
      <c r="E232" s="27">
        <v>-5840.17</v>
      </c>
      <c r="F232" s="27">
        <v>0</v>
      </c>
      <c r="H232" s="27">
        <v>0</v>
      </c>
      <c r="J232" s="27">
        <v>-5840.17</v>
      </c>
    </row>
    <row r="233" spans="1:10" ht="15.95" customHeight="1" x14ac:dyDescent="0.2">
      <c r="A233" s="33" t="s">
        <v>389</v>
      </c>
      <c r="B233" s="369" t="s">
        <v>390</v>
      </c>
      <c r="C233" s="370"/>
      <c r="D233" s="370"/>
      <c r="E233" s="27">
        <v>-385902.97</v>
      </c>
      <c r="F233" s="27">
        <v>0</v>
      </c>
      <c r="H233" s="27">
        <v>0</v>
      </c>
      <c r="J233" s="27">
        <v>-385902.97</v>
      </c>
    </row>
    <row r="234" spans="1:10" ht="15.95" customHeight="1" x14ac:dyDescent="0.2">
      <c r="A234" s="33" t="s">
        <v>391</v>
      </c>
      <c r="B234" s="369" t="s">
        <v>392</v>
      </c>
      <c r="C234" s="370"/>
      <c r="D234" s="370"/>
      <c r="E234" s="27">
        <v>-17386.990000000002</v>
      </c>
      <c r="F234" s="27">
        <v>0</v>
      </c>
      <c r="H234" s="27">
        <v>0</v>
      </c>
      <c r="J234" s="27">
        <v>-17386.990000000002</v>
      </c>
    </row>
    <row r="235" spans="1:10" ht="15.95" customHeight="1" x14ac:dyDescent="0.2">
      <c r="A235" s="33" t="s">
        <v>393</v>
      </c>
      <c r="B235" s="369" t="s">
        <v>394</v>
      </c>
      <c r="C235" s="370"/>
      <c r="D235" s="370"/>
      <c r="E235" s="27">
        <v>-56188.26</v>
      </c>
      <c r="F235" s="27">
        <v>0</v>
      </c>
      <c r="H235" s="27">
        <v>0</v>
      </c>
      <c r="J235" s="27">
        <v>-56188.26</v>
      </c>
    </row>
    <row r="236" spans="1:10" ht="15.95" customHeight="1" x14ac:dyDescent="0.2">
      <c r="A236" s="33" t="s">
        <v>395</v>
      </c>
      <c r="B236" s="369" t="s">
        <v>396</v>
      </c>
      <c r="C236" s="370"/>
      <c r="D236" s="370"/>
      <c r="E236" s="27">
        <v>-29270.35</v>
      </c>
      <c r="F236" s="27">
        <v>0</v>
      </c>
      <c r="H236" s="27">
        <v>0</v>
      </c>
      <c r="J236" s="27">
        <v>-29270.35</v>
      </c>
    </row>
    <row r="237" spans="1:10" ht="15.95" customHeight="1" x14ac:dyDescent="0.2">
      <c r="A237" s="33" t="s">
        <v>397</v>
      </c>
      <c r="B237" s="369" t="s">
        <v>398</v>
      </c>
      <c r="C237" s="370"/>
      <c r="D237" s="370"/>
      <c r="E237" s="27">
        <v>-63153.62</v>
      </c>
      <c r="F237" s="27">
        <v>0</v>
      </c>
      <c r="H237" s="27">
        <v>169954.18</v>
      </c>
      <c r="J237" s="27">
        <v>-233107.8</v>
      </c>
    </row>
    <row r="238" spans="1:10" ht="15.95" customHeight="1" x14ac:dyDescent="0.2">
      <c r="A238" s="33">
        <v>12399</v>
      </c>
      <c r="B238" s="369" t="s">
        <v>399</v>
      </c>
      <c r="C238" s="370"/>
      <c r="D238" s="370"/>
      <c r="E238" s="27">
        <v>-80654700.329999998</v>
      </c>
      <c r="F238" s="27">
        <v>1498862.1</v>
      </c>
      <c r="H238" s="27">
        <v>7088277.5199999996</v>
      </c>
      <c r="J238" s="27">
        <v>-86244115.75</v>
      </c>
    </row>
    <row r="239" spans="1:10" ht="27.95" customHeight="1" x14ac:dyDescent="0.2">
      <c r="A239" s="33">
        <v>1239901</v>
      </c>
      <c r="B239" s="369" t="s">
        <v>400</v>
      </c>
      <c r="C239" s="370"/>
      <c r="D239" s="370"/>
      <c r="E239" s="27">
        <v>-5544334.4400000004</v>
      </c>
      <c r="F239" s="27">
        <v>0</v>
      </c>
      <c r="H239" s="27">
        <v>597331.81999999995</v>
      </c>
      <c r="J239" s="27">
        <v>-6141666.2599999998</v>
      </c>
    </row>
    <row r="240" spans="1:10" ht="15.95" customHeight="1" x14ac:dyDescent="0.2">
      <c r="A240" s="401" t="s">
        <v>1441</v>
      </c>
      <c r="B240" s="370"/>
      <c r="C240" s="370"/>
      <c r="D240" s="102" t="s">
        <v>1744</v>
      </c>
      <c r="J240" s="103" t="s">
        <v>1745</v>
      </c>
    </row>
    <row r="241" spans="1:10" ht="20.100000000000001" customHeight="1" x14ac:dyDescent="0.2">
      <c r="A241" s="99" t="s">
        <v>1424</v>
      </c>
      <c r="J241" s="100" t="s">
        <v>1749</v>
      </c>
    </row>
    <row r="242" spans="1:10" ht="15.95" customHeight="1" x14ac:dyDescent="0.2">
      <c r="A242" s="33" t="s">
        <v>1739</v>
      </c>
      <c r="C242" s="33" t="s">
        <v>0</v>
      </c>
      <c r="J242" s="27" t="s">
        <v>1740</v>
      </c>
    </row>
    <row r="243" spans="1:10" ht="14.1" customHeight="1" x14ac:dyDescent="0.2">
      <c r="A243" s="101" t="s">
        <v>1741</v>
      </c>
      <c r="J243" s="27" t="s">
        <v>1742</v>
      </c>
    </row>
    <row r="244" spans="1:10" ht="15" customHeight="1" x14ac:dyDescent="0.2">
      <c r="A244" s="101" t="s">
        <v>1743</v>
      </c>
    </row>
    <row r="245" spans="1:10" ht="23.1" customHeight="1" x14ac:dyDescent="0.2">
      <c r="A245" s="23" t="s">
        <v>55</v>
      </c>
      <c r="B245" s="23" t="s">
        <v>56</v>
      </c>
      <c r="E245" s="24" t="s">
        <v>57</v>
      </c>
      <c r="F245" s="24" t="s">
        <v>58</v>
      </c>
      <c r="H245" s="24" t="s">
        <v>59</v>
      </c>
      <c r="J245" s="24" t="s">
        <v>60</v>
      </c>
    </row>
    <row r="246" spans="1:10" ht="15.95" customHeight="1" x14ac:dyDescent="0.2">
      <c r="A246" s="33" t="s">
        <v>401</v>
      </c>
      <c r="B246" s="369" t="s">
        <v>277</v>
      </c>
      <c r="C246" s="370"/>
      <c r="D246" s="370"/>
      <c r="E246" s="27">
        <v>-63204.99</v>
      </c>
      <c r="F246" s="27">
        <v>0</v>
      </c>
      <c r="H246" s="27">
        <v>277.2</v>
      </c>
      <c r="J246" s="27">
        <v>-63482.19</v>
      </c>
    </row>
    <row r="247" spans="1:10" ht="15.95" customHeight="1" x14ac:dyDescent="0.2">
      <c r="A247" s="33" t="s">
        <v>402</v>
      </c>
      <c r="B247" s="369" t="s">
        <v>279</v>
      </c>
      <c r="C247" s="370"/>
      <c r="D247" s="370"/>
      <c r="E247" s="27">
        <v>-12832.06</v>
      </c>
      <c r="F247" s="27">
        <v>0</v>
      </c>
      <c r="H247" s="27">
        <v>0</v>
      </c>
      <c r="J247" s="27">
        <v>-12832.06</v>
      </c>
    </row>
    <row r="248" spans="1:10" ht="15.95" customHeight="1" x14ac:dyDescent="0.2">
      <c r="A248" s="33" t="s">
        <v>403</v>
      </c>
      <c r="B248" s="369" t="s">
        <v>281</v>
      </c>
      <c r="C248" s="370"/>
      <c r="D248" s="370"/>
      <c r="E248" s="27">
        <v>-932954.94</v>
      </c>
      <c r="F248" s="27">
        <v>0</v>
      </c>
      <c r="H248" s="27">
        <v>58274.879999999997</v>
      </c>
      <c r="J248" s="27">
        <v>-991229.82</v>
      </c>
    </row>
    <row r="249" spans="1:10" ht="15.95" customHeight="1" x14ac:dyDescent="0.2">
      <c r="A249" s="33" t="s">
        <v>404</v>
      </c>
      <c r="B249" s="369" t="s">
        <v>283</v>
      </c>
      <c r="C249" s="370"/>
      <c r="D249" s="370"/>
      <c r="E249" s="27">
        <v>-2033449.65</v>
      </c>
      <c r="F249" s="27">
        <v>0</v>
      </c>
      <c r="H249" s="27">
        <v>484436.52</v>
      </c>
      <c r="J249" s="27">
        <v>-2517886.17</v>
      </c>
    </row>
    <row r="250" spans="1:10" ht="15.95" customHeight="1" x14ac:dyDescent="0.2">
      <c r="A250" s="33" t="s">
        <v>405</v>
      </c>
      <c r="B250" s="369" t="s">
        <v>285</v>
      </c>
      <c r="C250" s="370"/>
      <c r="D250" s="370"/>
      <c r="E250" s="27">
        <v>-600214.14</v>
      </c>
      <c r="F250" s="27">
        <v>0</v>
      </c>
      <c r="H250" s="27">
        <v>9829.2199999999993</v>
      </c>
      <c r="J250" s="27">
        <v>-610043.36</v>
      </c>
    </row>
    <row r="251" spans="1:10" ht="15.95" customHeight="1" x14ac:dyDescent="0.2">
      <c r="A251" s="33" t="s">
        <v>406</v>
      </c>
      <c r="B251" s="369" t="s">
        <v>289</v>
      </c>
      <c r="C251" s="370"/>
      <c r="D251" s="370"/>
      <c r="E251" s="27">
        <v>-1210095.1200000001</v>
      </c>
      <c r="F251" s="27">
        <v>0</v>
      </c>
      <c r="H251" s="27">
        <v>9568.3799999999992</v>
      </c>
      <c r="J251" s="27">
        <v>-1219663.5</v>
      </c>
    </row>
    <row r="252" spans="1:10" ht="15.95" customHeight="1" x14ac:dyDescent="0.2">
      <c r="A252" s="33" t="s">
        <v>407</v>
      </c>
      <c r="B252" s="369" t="s">
        <v>287</v>
      </c>
      <c r="C252" s="370"/>
      <c r="D252" s="370"/>
      <c r="E252" s="27">
        <v>-65426.16</v>
      </c>
      <c r="F252" s="27">
        <v>0</v>
      </c>
      <c r="H252" s="27">
        <v>5380.2</v>
      </c>
      <c r="J252" s="27">
        <v>-70806.36</v>
      </c>
    </row>
    <row r="253" spans="1:10" ht="15.95" customHeight="1" x14ac:dyDescent="0.2">
      <c r="A253" s="33" t="s">
        <v>408</v>
      </c>
      <c r="B253" s="369" t="s">
        <v>291</v>
      </c>
      <c r="C253" s="370"/>
      <c r="D253" s="370"/>
      <c r="E253" s="27">
        <v>-616628.28</v>
      </c>
      <c r="F253" s="27">
        <v>0</v>
      </c>
      <c r="H253" s="27">
        <v>28919.16</v>
      </c>
      <c r="J253" s="27">
        <v>-645547.43999999994</v>
      </c>
    </row>
    <row r="254" spans="1:10" ht="15.95" customHeight="1" x14ac:dyDescent="0.2">
      <c r="A254" s="33" t="s">
        <v>409</v>
      </c>
      <c r="B254" s="369" t="s">
        <v>410</v>
      </c>
      <c r="C254" s="370"/>
      <c r="D254" s="370"/>
      <c r="E254" s="27">
        <v>-9529.1</v>
      </c>
      <c r="F254" s="27">
        <v>0</v>
      </c>
      <c r="H254" s="27">
        <v>646.26</v>
      </c>
      <c r="J254" s="27">
        <v>-10175.36</v>
      </c>
    </row>
    <row r="255" spans="1:10" ht="15.95" customHeight="1" x14ac:dyDescent="0.2">
      <c r="A255" s="33">
        <v>1239902</v>
      </c>
      <c r="B255" s="369" t="s">
        <v>412</v>
      </c>
      <c r="C255" s="370"/>
      <c r="D255" s="370"/>
      <c r="E255" s="27">
        <v>-60198719.740000002</v>
      </c>
      <c r="F255" s="27">
        <v>1113623.3999999999</v>
      </c>
      <c r="H255" s="27">
        <v>1527281.66</v>
      </c>
      <c r="J255" s="27">
        <v>-60612378</v>
      </c>
    </row>
    <row r="256" spans="1:10" ht="15.95" customHeight="1" x14ac:dyDescent="0.2">
      <c r="A256" s="33" t="s">
        <v>413</v>
      </c>
      <c r="B256" s="369" t="s">
        <v>300</v>
      </c>
      <c r="C256" s="370"/>
      <c r="D256" s="370"/>
      <c r="E256" s="27">
        <v>-6578848.4299999997</v>
      </c>
      <c r="F256" s="27">
        <v>207691.87</v>
      </c>
      <c r="H256" s="27">
        <v>241356.35</v>
      </c>
      <c r="J256" s="27">
        <v>-6612512.9100000001</v>
      </c>
    </row>
    <row r="257" spans="1:10" ht="15.95" customHeight="1" x14ac:dyDescent="0.2">
      <c r="A257" s="33" t="s">
        <v>414</v>
      </c>
      <c r="B257" s="369" t="s">
        <v>302</v>
      </c>
      <c r="C257" s="370"/>
      <c r="D257" s="370"/>
      <c r="E257" s="27">
        <v>-4450.58</v>
      </c>
      <c r="F257" s="27">
        <v>0</v>
      </c>
      <c r="H257" s="27">
        <v>0</v>
      </c>
      <c r="J257" s="27">
        <v>-4450.58</v>
      </c>
    </row>
    <row r="258" spans="1:10" ht="15.95" customHeight="1" x14ac:dyDescent="0.2">
      <c r="A258" s="33" t="s">
        <v>415</v>
      </c>
      <c r="B258" s="369" t="s">
        <v>304</v>
      </c>
      <c r="C258" s="370"/>
      <c r="D258" s="370"/>
      <c r="E258" s="27">
        <v>-1300291.02</v>
      </c>
      <c r="F258" s="27">
        <v>905931.53</v>
      </c>
      <c r="H258" s="27">
        <v>100345.25</v>
      </c>
      <c r="J258" s="27">
        <v>-494704.74</v>
      </c>
    </row>
    <row r="259" spans="1:10" ht="15.95" customHeight="1" x14ac:dyDescent="0.2">
      <c r="A259" s="33" t="s">
        <v>416</v>
      </c>
      <c r="B259" s="369" t="s">
        <v>306</v>
      </c>
      <c r="C259" s="370"/>
      <c r="D259" s="370"/>
      <c r="E259" s="27">
        <v>-33066566.010000002</v>
      </c>
      <c r="F259" s="27">
        <v>0</v>
      </c>
      <c r="H259" s="27">
        <v>747210.81</v>
      </c>
      <c r="J259" s="27">
        <v>-33813776.82</v>
      </c>
    </row>
    <row r="260" spans="1:10" ht="15.95" customHeight="1" x14ac:dyDescent="0.2">
      <c r="A260" s="33" t="s">
        <v>417</v>
      </c>
      <c r="B260" s="369" t="s">
        <v>308</v>
      </c>
      <c r="C260" s="370"/>
      <c r="D260" s="370"/>
      <c r="E260" s="27">
        <v>-9551045.0299999993</v>
      </c>
      <c r="F260" s="27">
        <v>0</v>
      </c>
      <c r="H260" s="27">
        <v>57503.14</v>
      </c>
      <c r="J260" s="27">
        <v>-9608548.1699999999</v>
      </c>
    </row>
    <row r="261" spans="1:10" ht="15.95" customHeight="1" x14ac:dyDescent="0.2">
      <c r="A261" s="33" t="s">
        <v>418</v>
      </c>
      <c r="B261" s="369" t="s">
        <v>310</v>
      </c>
      <c r="C261" s="370"/>
      <c r="D261" s="370"/>
      <c r="E261" s="27">
        <v>-440226.98</v>
      </c>
      <c r="F261" s="27">
        <v>0</v>
      </c>
      <c r="H261" s="27">
        <v>11365.8</v>
      </c>
      <c r="J261" s="27">
        <v>-451592.78</v>
      </c>
    </row>
    <row r="262" spans="1:10" ht="15.95" customHeight="1" x14ac:dyDescent="0.2">
      <c r="A262" s="33" t="s">
        <v>419</v>
      </c>
      <c r="B262" s="369" t="s">
        <v>312</v>
      </c>
      <c r="C262" s="370"/>
      <c r="D262" s="370"/>
      <c r="E262" s="27">
        <v>-95202.46</v>
      </c>
      <c r="F262" s="27">
        <v>0</v>
      </c>
      <c r="H262" s="27">
        <v>0</v>
      </c>
      <c r="J262" s="27">
        <v>-95202.46</v>
      </c>
    </row>
    <row r="263" spans="1:10" ht="15.95" customHeight="1" x14ac:dyDescent="0.2">
      <c r="A263" s="33" t="s">
        <v>420</v>
      </c>
      <c r="B263" s="369" t="s">
        <v>316</v>
      </c>
      <c r="C263" s="370"/>
      <c r="D263" s="370"/>
      <c r="E263" s="27">
        <v>-5355122.28</v>
      </c>
      <c r="F263" s="27">
        <v>0</v>
      </c>
      <c r="H263" s="27">
        <v>209742.84</v>
      </c>
      <c r="J263" s="27">
        <v>-5564865.1200000001</v>
      </c>
    </row>
    <row r="264" spans="1:10" ht="15.95" customHeight="1" x14ac:dyDescent="0.2">
      <c r="A264" s="33" t="s">
        <v>421</v>
      </c>
      <c r="B264" s="369" t="s">
        <v>318</v>
      </c>
      <c r="C264" s="370"/>
      <c r="D264" s="370"/>
      <c r="E264" s="27">
        <v>-905338.24</v>
      </c>
      <c r="F264" s="27">
        <v>0</v>
      </c>
      <c r="H264" s="27">
        <v>0</v>
      </c>
      <c r="J264" s="27">
        <v>-905338.24</v>
      </c>
    </row>
    <row r="265" spans="1:10" ht="15.95" customHeight="1" x14ac:dyDescent="0.2">
      <c r="A265" s="33" t="s">
        <v>422</v>
      </c>
      <c r="B265" s="369" t="s">
        <v>320</v>
      </c>
      <c r="C265" s="370"/>
      <c r="D265" s="370"/>
      <c r="E265" s="27">
        <v>-350775.54</v>
      </c>
      <c r="F265" s="27">
        <v>0</v>
      </c>
      <c r="H265" s="27">
        <v>24212.91</v>
      </c>
      <c r="J265" s="27">
        <v>-374988.45</v>
      </c>
    </row>
    <row r="266" spans="1:10" ht="15.95" customHeight="1" x14ac:dyDescent="0.2">
      <c r="A266" s="33" t="s">
        <v>423</v>
      </c>
      <c r="B266" s="369" t="s">
        <v>322</v>
      </c>
      <c r="C266" s="370"/>
      <c r="D266" s="370"/>
      <c r="E266" s="27">
        <v>-123943.43</v>
      </c>
      <c r="F266" s="27">
        <v>0</v>
      </c>
      <c r="H266" s="27">
        <v>0</v>
      </c>
      <c r="J266" s="27">
        <v>-123943.43</v>
      </c>
    </row>
    <row r="267" spans="1:10" ht="15.95" customHeight="1" x14ac:dyDescent="0.2">
      <c r="A267" s="33" t="s">
        <v>424</v>
      </c>
      <c r="B267" s="369" t="s">
        <v>425</v>
      </c>
      <c r="C267" s="370"/>
      <c r="D267" s="370"/>
      <c r="E267" s="27">
        <v>-13925.73</v>
      </c>
      <c r="F267" s="27">
        <v>0</v>
      </c>
      <c r="H267" s="27">
        <v>0</v>
      </c>
      <c r="J267" s="27">
        <v>-13925.73</v>
      </c>
    </row>
    <row r="268" spans="1:10" ht="15.95" customHeight="1" x14ac:dyDescent="0.2">
      <c r="A268" s="33" t="s">
        <v>426</v>
      </c>
      <c r="B268" s="369" t="s">
        <v>427</v>
      </c>
      <c r="C268" s="370"/>
      <c r="D268" s="370"/>
      <c r="E268" s="27">
        <v>-1970.82</v>
      </c>
      <c r="F268" s="27">
        <v>0</v>
      </c>
      <c r="H268" s="27">
        <v>0</v>
      </c>
      <c r="J268" s="27">
        <v>-1970.82</v>
      </c>
    </row>
    <row r="269" spans="1:10" ht="15.95" customHeight="1" x14ac:dyDescent="0.2">
      <c r="A269" s="33" t="s">
        <v>428</v>
      </c>
      <c r="B269" s="369" t="s">
        <v>429</v>
      </c>
      <c r="C269" s="370"/>
      <c r="D269" s="370"/>
      <c r="E269" s="27">
        <v>-421500.65</v>
      </c>
      <c r="F269" s="27">
        <v>0</v>
      </c>
      <c r="H269" s="27">
        <v>21035.040000000001</v>
      </c>
      <c r="J269" s="27">
        <v>-442535.69</v>
      </c>
    </row>
    <row r="270" spans="1:10" ht="15.95" customHeight="1" x14ac:dyDescent="0.2">
      <c r="A270" s="33" t="s">
        <v>430</v>
      </c>
      <c r="B270" s="369" t="s">
        <v>431</v>
      </c>
      <c r="C270" s="370"/>
      <c r="D270" s="370"/>
      <c r="E270" s="27">
        <v>-1103943.46</v>
      </c>
      <c r="F270" s="27">
        <v>0</v>
      </c>
      <c r="H270" s="27">
        <v>18544.919999999998</v>
      </c>
      <c r="J270" s="27">
        <v>-1122488.3799999999</v>
      </c>
    </row>
    <row r="271" spans="1:10" ht="15.95" customHeight="1" x14ac:dyDescent="0.2">
      <c r="A271" s="33" t="s">
        <v>432</v>
      </c>
      <c r="B271" s="369" t="s">
        <v>336</v>
      </c>
      <c r="C271" s="370"/>
      <c r="D271" s="370"/>
      <c r="E271" s="27">
        <v>-885569.08</v>
      </c>
      <c r="F271" s="27">
        <v>0</v>
      </c>
      <c r="H271" s="27">
        <v>78195.149999999994</v>
      </c>
      <c r="J271" s="27">
        <v>-963764.23</v>
      </c>
    </row>
    <row r="272" spans="1:10" ht="15.95" customHeight="1" x14ac:dyDescent="0.2">
      <c r="A272" s="33" t="s">
        <v>433</v>
      </c>
      <c r="B272" s="369" t="s">
        <v>338</v>
      </c>
      <c r="C272" s="370"/>
      <c r="D272" s="370"/>
      <c r="E272" s="27">
        <v>0</v>
      </c>
      <c r="F272" s="27">
        <v>0</v>
      </c>
      <c r="H272" s="27">
        <v>17769.45</v>
      </c>
      <c r="J272" s="27">
        <v>-17769.45</v>
      </c>
    </row>
    <row r="273" spans="1:10" ht="15.95" customHeight="1" x14ac:dyDescent="0.2">
      <c r="A273" s="33">
        <v>1239903</v>
      </c>
      <c r="B273" s="369" t="s">
        <v>434</v>
      </c>
      <c r="C273" s="370"/>
      <c r="D273" s="370"/>
      <c r="E273" s="27">
        <v>5763425.5899999999</v>
      </c>
      <c r="F273" s="27">
        <v>385238.7</v>
      </c>
      <c r="H273" s="27">
        <v>0</v>
      </c>
      <c r="J273" s="27">
        <v>6148664.29</v>
      </c>
    </row>
    <row r="274" spans="1:10" ht="15.95" customHeight="1" x14ac:dyDescent="0.2">
      <c r="A274" s="33" t="s">
        <v>435</v>
      </c>
      <c r="B274" s="369" t="s">
        <v>300</v>
      </c>
      <c r="C274" s="370"/>
      <c r="D274" s="370"/>
      <c r="E274" s="27">
        <v>1371149.47</v>
      </c>
      <c r="F274" s="27">
        <v>117122.69</v>
      </c>
      <c r="H274" s="27">
        <v>0</v>
      </c>
      <c r="J274" s="27">
        <v>1488272.16</v>
      </c>
    </row>
    <row r="275" spans="1:10" ht="15.95" customHeight="1" x14ac:dyDescent="0.2">
      <c r="A275" s="33" t="s">
        <v>436</v>
      </c>
      <c r="B275" s="369" t="s">
        <v>304</v>
      </c>
      <c r="C275" s="370"/>
      <c r="D275" s="370"/>
      <c r="E275" s="27">
        <v>107014.75</v>
      </c>
      <c r="F275" s="27">
        <v>18850.75</v>
      </c>
      <c r="H275" s="27">
        <v>0</v>
      </c>
      <c r="J275" s="27">
        <v>125865.5</v>
      </c>
    </row>
    <row r="276" spans="1:10" ht="15.95" customHeight="1" x14ac:dyDescent="0.2">
      <c r="A276" s="33" t="s">
        <v>437</v>
      </c>
      <c r="B276" s="369" t="s">
        <v>306</v>
      </c>
      <c r="C276" s="370"/>
      <c r="D276" s="370"/>
      <c r="E276" s="27">
        <v>4269610.88</v>
      </c>
      <c r="F276" s="27">
        <v>249265.26</v>
      </c>
      <c r="H276" s="27">
        <v>0</v>
      </c>
      <c r="J276" s="27">
        <v>4518876.1399999997</v>
      </c>
    </row>
    <row r="277" spans="1:10" ht="15.95" customHeight="1" x14ac:dyDescent="0.2">
      <c r="A277" s="33" t="s">
        <v>438</v>
      </c>
      <c r="B277" s="369" t="s">
        <v>318</v>
      </c>
      <c r="C277" s="370"/>
      <c r="D277" s="370"/>
      <c r="E277" s="27">
        <v>15650.49</v>
      </c>
      <c r="F277" s="27">
        <v>0</v>
      </c>
      <c r="H277" s="27">
        <v>0</v>
      </c>
      <c r="J277" s="27">
        <v>15650.49</v>
      </c>
    </row>
    <row r="278" spans="1:10" ht="15.95" customHeight="1" x14ac:dyDescent="0.2">
      <c r="A278" s="33">
        <v>1239904</v>
      </c>
      <c r="B278" s="369" t="s">
        <v>439</v>
      </c>
      <c r="C278" s="370"/>
      <c r="D278" s="370"/>
      <c r="E278" s="27">
        <v>-20675071.739999998</v>
      </c>
      <c r="F278" s="27">
        <v>0</v>
      </c>
      <c r="H278" s="27">
        <v>4963664.04</v>
      </c>
      <c r="J278" s="27">
        <v>-25638735.780000001</v>
      </c>
    </row>
    <row r="279" spans="1:10" ht="15.95" customHeight="1" x14ac:dyDescent="0.2">
      <c r="A279" s="33" t="s">
        <v>440</v>
      </c>
      <c r="B279" s="369" t="s">
        <v>441</v>
      </c>
      <c r="C279" s="370"/>
      <c r="D279" s="370"/>
      <c r="E279" s="27">
        <v>-19324779.989999998</v>
      </c>
      <c r="F279" s="27">
        <v>0</v>
      </c>
      <c r="H279" s="27">
        <v>4639594.0199999996</v>
      </c>
      <c r="J279" s="27">
        <v>-23964374.010000002</v>
      </c>
    </row>
    <row r="280" spans="1:10" ht="15.95" customHeight="1" x14ac:dyDescent="0.2">
      <c r="A280" s="33" t="s">
        <v>442</v>
      </c>
      <c r="B280" s="369" t="s">
        <v>443</v>
      </c>
      <c r="C280" s="370"/>
      <c r="D280" s="370"/>
      <c r="E280" s="27">
        <v>-227912.5</v>
      </c>
      <c r="F280" s="27">
        <v>0</v>
      </c>
      <c r="H280" s="27">
        <v>54699</v>
      </c>
      <c r="J280" s="27">
        <v>-282611.5</v>
      </c>
    </row>
    <row r="281" spans="1:10" ht="15.95" customHeight="1" x14ac:dyDescent="0.2">
      <c r="A281" s="33" t="s">
        <v>444</v>
      </c>
      <c r="B281" s="369" t="s">
        <v>355</v>
      </c>
      <c r="C281" s="370"/>
      <c r="D281" s="370"/>
      <c r="E281" s="27">
        <v>-736053.25</v>
      </c>
      <c r="F281" s="27">
        <v>0</v>
      </c>
      <c r="H281" s="27">
        <v>176652.78</v>
      </c>
      <c r="J281" s="27">
        <v>-912706.03</v>
      </c>
    </row>
    <row r="282" spans="1:10" ht="15.95" customHeight="1" x14ac:dyDescent="0.2">
      <c r="A282" s="33" t="s">
        <v>445</v>
      </c>
      <c r="B282" s="369" t="s">
        <v>357</v>
      </c>
      <c r="C282" s="370"/>
      <c r="D282" s="370"/>
      <c r="E282" s="27">
        <v>-2787.5</v>
      </c>
      <c r="F282" s="27">
        <v>0</v>
      </c>
      <c r="H282" s="27">
        <v>669</v>
      </c>
      <c r="J282" s="27">
        <v>-3456.5</v>
      </c>
    </row>
    <row r="283" spans="1:10" ht="15.95" customHeight="1" x14ac:dyDescent="0.2">
      <c r="A283" s="33" t="s">
        <v>446</v>
      </c>
      <c r="B283" s="369" t="s">
        <v>447</v>
      </c>
      <c r="C283" s="370"/>
      <c r="D283" s="370"/>
      <c r="E283" s="27">
        <v>-383538.5</v>
      </c>
      <c r="F283" s="27">
        <v>0</v>
      </c>
      <c r="H283" s="27">
        <v>92049.24</v>
      </c>
      <c r="J283" s="27">
        <v>-475587.74</v>
      </c>
    </row>
    <row r="284" spans="1:10" ht="15.95" customHeight="1" x14ac:dyDescent="0.2">
      <c r="A284" s="33">
        <v>124</v>
      </c>
      <c r="B284" s="369" t="s">
        <v>448</v>
      </c>
      <c r="C284" s="370"/>
      <c r="D284" s="370"/>
      <c r="E284" s="27">
        <v>2190000</v>
      </c>
      <c r="F284" s="27">
        <v>0</v>
      </c>
      <c r="H284" s="27">
        <v>628297.85</v>
      </c>
      <c r="J284" s="27">
        <v>1561702.15</v>
      </c>
    </row>
    <row r="285" spans="1:10" ht="15.95" customHeight="1" x14ac:dyDescent="0.2">
      <c r="A285" s="33">
        <v>12401</v>
      </c>
      <c r="B285" s="369" t="s">
        <v>448</v>
      </c>
      <c r="C285" s="370"/>
      <c r="D285" s="370"/>
      <c r="E285" s="27">
        <v>7519654.9800000004</v>
      </c>
      <c r="F285" s="27">
        <v>0</v>
      </c>
      <c r="H285" s="27">
        <v>0</v>
      </c>
      <c r="J285" s="27">
        <v>7519654.9800000004</v>
      </c>
    </row>
    <row r="286" spans="1:10" ht="15.95" customHeight="1" x14ac:dyDescent="0.2">
      <c r="A286" s="33">
        <v>1240101</v>
      </c>
      <c r="B286" s="369" t="s">
        <v>448</v>
      </c>
      <c r="C286" s="370"/>
      <c r="D286" s="370"/>
      <c r="E286" s="27">
        <v>7519654.9800000004</v>
      </c>
      <c r="F286" s="27">
        <v>0</v>
      </c>
      <c r="H286" s="27">
        <v>0</v>
      </c>
      <c r="J286" s="27">
        <v>7519654.9800000004</v>
      </c>
    </row>
    <row r="287" spans="1:10" ht="15.95" customHeight="1" x14ac:dyDescent="0.2">
      <c r="A287" s="33" t="s">
        <v>449</v>
      </c>
      <c r="B287" s="369" t="s">
        <v>450</v>
      </c>
      <c r="C287" s="370"/>
      <c r="D287" s="370"/>
      <c r="E287" s="27">
        <v>7519654.9800000004</v>
      </c>
      <c r="F287" s="27">
        <v>0</v>
      </c>
      <c r="H287" s="27">
        <v>0</v>
      </c>
      <c r="J287" s="27">
        <v>7519654.9800000004</v>
      </c>
    </row>
    <row r="288" spans="1:10" ht="15.95" customHeight="1" x14ac:dyDescent="0.2">
      <c r="A288" s="33">
        <v>12499</v>
      </c>
      <c r="B288" s="369" t="s">
        <v>451</v>
      </c>
      <c r="C288" s="370"/>
      <c r="D288" s="370"/>
      <c r="E288" s="27">
        <v>-5329654.9800000004</v>
      </c>
      <c r="F288" s="27">
        <v>0</v>
      </c>
      <c r="H288" s="27">
        <v>628297.85</v>
      </c>
      <c r="J288" s="27">
        <v>-5957952.8300000001</v>
      </c>
    </row>
    <row r="289" spans="1:10" ht="15.95" customHeight="1" x14ac:dyDescent="0.2">
      <c r="A289" s="33">
        <v>1249901</v>
      </c>
      <c r="B289" s="369" t="s">
        <v>451</v>
      </c>
      <c r="C289" s="370"/>
      <c r="D289" s="370"/>
      <c r="E289" s="27">
        <v>-5328125.7</v>
      </c>
      <c r="F289" s="27">
        <v>0</v>
      </c>
      <c r="H289" s="27">
        <v>628297.85</v>
      </c>
      <c r="J289" s="27">
        <v>-5956423.5499999998</v>
      </c>
    </row>
    <row r="290" spans="1:10" ht="15.95" customHeight="1" x14ac:dyDescent="0.2">
      <c r="A290" s="33" t="s">
        <v>452</v>
      </c>
      <c r="B290" s="369" t="s">
        <v>450</v>
      </c>
      <c r="C290" s="370"/>
      <c r="D290" s="370"/>
      <c r="E290" s="27">
        <v>-5328125.7</v>
      </c>
      <c r="F290" s="27">
        <v>0</v>
      </c>
      <c r="H290" s="27">
        <v>628297.85</v>
      </c>
      <c r="J290" s="27">
        <v>-5956423.5499999998</v>
      </c>
    </row>
    <row r="291" spans="1:10" ht="15.95" customHeight="1" x14ac:dyDescent="0.2">
      <c r="A291" s="33">
        <v>1249902</v>
      </c>
      <c r="B291" s="369" t="s">
        <v>453</v>
      </c>
      <c r="C291" s="370"/>
      <c r="D291" s="370"/>
      <c r="E291" s="27">
        <v>-1529.28</v>
      </c>
      <c r="F291" s="27">
        <v>0</v>
      </c>
      <c r="H291" s="27">
        <v>0</v>
      </c>
      <c r="J291" s="27">
        <v>-1529.28</v>
      </c>
    </row>
    <row r="292" spans="1:10" ht="15.95" customHeight="1" x14ac:dyDescent="0.2">
      <c r="A292" s="33" t="s">
        <v>454</v>
      </c>
      <c r="B292" s="369" t="s">
        <v>453</v>
      </c>
      <c r="C292" s="370"/>
      <c r="D292" s="370"/>
      <c r="E292" s="27">
        <v>-1529.28</v>
      </c>
      <c r="F292" s="27">
        <v>0</v>
      </c>
      <c r="H292" s="27">
        <v>0</v>
      </c>
      <c r="J292" s="27">
        <v>-1529.28</v>
      </c>
    </row>
    <row r="293" spans="1:10" ht="15.95" customHeight="1" x14ac:dyDescent="0.2">
      <c r="A293" s="33">
        <v>13</v>
      </c>
      <c r="B293" s="369" t="s">
        <v>455</v>
      </c>
      <c r="C293" s="370"/>
      <c r="D293" s="370"/>
      <c r="E293" s="27">
        <v>1236717.49</v>
      </c>
      <c r="F293" s="27">
        <v>0</v>
      </c>
      <c r="H293" s="27">
        <v>0</v>
      </c>
      <c r="J293" s="27">
        <v>1236717.49</v>
      </c>
    </row>
    <row r="294" spans="1:10" ht="15.95" customHeight="1" x14ac:dyDescent="0.2">
      <c r="A294" s="33">
        <v>131</v>
      </c>
      <c r="B294" s="369" t="s">
        <v>456</v>
      </c>
      <c r="C294" s="370"/>
      <c r="D294" s="370"/>
      <c r="E294" s="27">
        <v>1236717.49</v>
      </c>
      <c r="F294" s="27">
        <v>0</v>
      </c>
      <c r="H294" s="27">
        <v>0</v>
      </c>
      <c r="J294" s="27">
        <v>1236717.49</v>
      </c>
    </row>
    <row r="295" spans="1:10" ht="15.95" customHeight="1" x14ac:dyDescent="0.2">
      <c r="A295" s="33">
        <v>13101</v>
      </c>
      <c r="B295" s="369" t="s">
        <v>344</v>
      </c>
      <c r="C295" s="370"/>
      <c r="D295" s="370"/>
      <c r="E295" s="27">
        <v>1236717.49</v>
      </c>
      <c r="F295" s="27">
        <v>0</v>
      </c>
      <c r="H295" s="27">
        <v>0</v>
      </c>
      <c r="J295" s="27">
        <v>1236717.49</v>
      </c>
    </row>
    <row r="296" spans="1:10" ht="15.95" customHeight="1" x14ac:dyDescent="0.2">
      <c r="A296" s="33">
        <v>1310101</v>
      </c>
      <c r="B296" s="369" t="s">
        <v>457</v>
      </c>
      <c r="C296" s="370"/>
      <c r="D296" s="370"/>
      <c r="E296" s="27">
        <v>1236717.49</v>
      </c>
      <c r="F296" s="27">
        <v>0</v>
      </c>
      <c r="H296" s="27">
        <v>0</v>
      </c>
      <c r="J296" s="27">
        <v>1236717.49</v>
      </c>
    </row>
    <row r="297" spans="1:10" ht="15.95" customHeight="1" x14ac:dyDescent="0.2">
      <c r="A297" s="33" t="s">
        <v>458</v>
      </c>
      <c r="B297" s="369" t="s">
        <v>459</v>
      </c>
      <c r="C297" s="370"/>
      <c r="D297" s="370"/>
      <c r="E297" s="27">
        <v>1236717.49</v>
      </c>
      <c r="F297" s="27">
        <v>0</v>
      </c>
      <c r="H297" s="27">
        <v>0</v>
      </c>
      <c r="J297" s="27">
        <v>1236717.49</v>
      </c>
    </row>
    <row r="298" spans="1:10" ht="15.95" customHeight="1" x14ac:dyDescent="0.2">
      <c r="A298" s="33">
        <v>2</v>
      </c>
      <c r="B298" s="369" t="s">
        <v>460</v>
      </c>
      <c r="C298" s="370"/>
      <c r="D298" s="370"/>
      <c r="E298" s="27">
        <v>-337159374.25999999</v>
      </c>
      <c r="F298" s="27">
        <v>114501945.2</v>
      </c>
      <c r="H298" s="27">
        <v>98154346.409999996</v>
      </c>
      <c r="J298" s="27">
        <v>-320811775.47000003</v>
      </c>
    </row>
    <row r="299" spans="1:10" ht="27.95" customHeight="1" x14ac:dyDescent="0.2">
      <c r="A299" s="33">
        <v>21</v>
      </c>
      <c r="B299" s="369" t="s">
        <v>461</v>
      </c>
      <c r="C299" s="370"/>
      <c r="D299" s="370"/>
      <c r="E299" s="27">
        <v>-16440110.85</v>
      </c>
      <c r="F299" s="27">
        <v>38293689.079999998</v>
      </c>
      <c r="H299" s="27">
        <v>36883174.210000001</v>
      </c>
      <c r="J299" s="27">
        <v>-15029595.98</v>
      </c>
    </row>
    <row r="300" spans="1:10" ht="15.95" customHeight="1" x14ac:dyDescent="0.2">
      <c r="A300" s="401" t="s">
        <v>1441</v>
      </c>
      <c r="B300" s="370"/>
      <c r="C300" s="370"/>
      <c r="D300" s="102" t="s">
        <v>1744</v>
      </c>
      <c r="J300" s="103" t="s">
        <v>1745</v>
      </c>
    </row>
    <row r="301" spans="1:10" ht="20.100000000000001" customHeight="1" x14ac:dyDescent="0.2">
      <c r="A301" s="99" t="s">
        <v>1424</v>
      </c>
      <c r="J301" s="100" t="s">
        <v>1750</v>
      </c>
    </row>
    <row r="302" spans="1:10" ht="15.95" customHeight="1" x14ac:dyDescent="0.2">
      <c r="A302" s="33" t="s">
        <v>1739</v>
      </c>
      <c r="C302" s="33" t="s">
        <v>0</v>
      </c>
      <c r="J302" s="27" t="s">
        <v>1740</v>
      </c>
    </row>
    <row r="303" spans="1:10" ht="14.1" customHeight="1" x14ac:dyDescent="0.2">
      <c r="A303" s="101" t="s">
        <v>1741</v>
      </c>
      <c r="J303" s="27" t="s">
        <v>1742</v>
      </c>
    </row>
    <row r="304" spans="1:10" ht="15" customHeight="1" x14ac:dyDescent="0.2">
      <c r="A304" s="101" t="s">
        <v>1743</v>
      </c>
    </row>
    <row r="305" spans="1:10" ht="23.1" customHeight="1" x14ac:dyDescent="0.2">
      <c r="A305" s="23" t="s">
        <v>55</v>
      </c>
      <c r="B305" s="23" t="s">
        <v>56</v>
      </c>
      <c r="E305" s="24" t="s">
        <v>57</v>
      </c>
      <c r="F305" s="24" t="s">
        <v>58</v>
      </c>
      <c r="H305" s="24" t="s">
        <v>59</v>
      </c>
      <c r="J305" s="24" t="s">
        <v>60</v>
      </c>
    </row>
    <row r="306" spans="1:10" ht="15.95" customHeight="1" x14ac:dyDescent="0.2">
      <c r="A306" s="33">
        <v>211</v>
      </c>
      <c r="B306" s="369" t="s">
        <v>462</v>
      </c>
      <c r="C306" s="370"/>
      <c r="D306" s="370"/>
      <c r="E306" s="27">
        <v>-3566348.28</v>
      </c>
      <c r="F306" s="27">
        <v>15432479.27</v>
      </c>
      <c r="H306" s="27">
        <v>14408342.25</v>
      </c>
      <c r="J306" s="27">
        <v>-2542211.2599999998</v>
      </c>
    </row>
    <row r="307" spans="1:10" ht="15.95" customHeight="1" x14ac:dyDescent="0.2">
      <c r="A307" s="33">
        <v>21101</v>
      </c>
      <c r="B307" s="369" t="s">
        <v>462</v>
      </c>
      <c r="C307" s="370"/>
      <c r="D307" s="370"/>
      <c r="E307" s="27">
        <v>-3566348.28</v>
      </c>
      <c r="F307" s="27">
        <v>15432479.27</v>
      </c>
      <c r="H307" s="27">
        <v>14408342.25</v>
      </c>
      <c r="J307" s="27">
        <v>-2542211.2599999998</v>
      </c>
    </row>
    <row r="308" spans="1:10" ht="15.95" customHeight="1" x14ac:dyDescent="0.2">
      <c r="A308" s="33">
        <v>2110101</v>
      </c>
      <c r="B308" s="369" t="s">
        <v>463</v>
      </c>
      <c r="C308" s="370"/>
      <c r="D308" s="370"/>
      <c r="E308" s="27">
        <v>-3161666.4</v>
      </c>
      <c r="F308" s="27">
        <v>13328296.710000001</v>
      </c>
      <c r="H308" s="27">
        <v>12327907.789999999</v>
      </c>
      <c r="J308" s="27">
        <v>-2161277.48</v>
      </c>
    </row>
    <row r="309" spans="1:10" ht="15.95" customHeight="1" x14ac:dyDescent="0.2">
      <c r="A309" s="33" t="s">
        <v>464</v>
      </c>
      <c r="B309" s="369" t="s">
        <v>465</v>
      </c>
      <c r="C309" s="370"/>
      <c r="D309" s="370"/>
      <c r="E309" s="27">
        <v>-72694.399999999994</v>
      </c>
      <c r="F309" s="27">
        <v>352399.32</v>
      </c>
      <c r="H309" s="27">
        <v>451149.24</v>
      </c>
      <c r="J309" s="27">
        <v>-171444.32</v>
      </c>
    </row>
    <row r="310" spans="1:10" ht="15.95" customHeight="1" x14ac:dyDescent="0.2">
      <c r="A310" s="33" t="s">
        <v>466</v>
      </c>
      <c r="B310" s="369" t="s">
        <v>467</v>
      </c>
      <c r="C310" s="370"/>
      <c r="D310" s="370"/>
      <c r="E310" s="27">
        <v>-1008457.32</v>
      </c>
      <c r="F310" s="27">
        <v>2769448.17</v>
      </c>
      <c r="H310" s="27">
        <v>2026460.95</v>
      </c>
      <c r="J310" s="27">
        <v>-265470.09999999998</v>
      </c>
    </row>
    <row r="311" spans="1:10" ht="15.95" customHeight="1" x14ac:dyDescent="0.2">
      <c r="A311" s="33" t="s">
        <v>468</v>
      </c>
      <c r="B311" s="369" t="s">
        <v>469</v>
      </c>
      <c r="C311" s="370"/>
      <c r="D311" s="370"/>
      <c r="E311" s="27">
        <v>-4246.2700000000004</v>
      </c>
      <c r="F311" s="27">
        <v>13405.49</v>
      </c>
      <c r="H311" s="27">
        <v>10908.61</v>
      </c>
      <c r="J311" s="27">
        <v>-1749.39</v>
      </c>
    </row>
    <row r="312" spans="1:10" ht="15.95" customHeight="1" x14ac:dyDescent="0.2">
      <c r="A312" s="33" t="s">
        <v>470</v>
      </c>
      <c r="B312" s="369" t="s">
        <v>471</v>
      </c>
      <c r="C312" s="370"/>
      <c r="D312" s="370"/>
      <c r="E312" s="27">
        <v>-6464.94</v>
      </c>
      <c r="F312" s="27">
        <v>86752.09</v>
      </c>
      <c r="H312" s="27">
        <v>80287.149999999994</v>
      </c>
      <c r="J312" s="27">
        <v>0</v>
      </c>
    </row>
    <row r="313" spans="1:10" ht="15.95" customHeight="1" x14ac:dyDescent="0.2">
      <c r="A313" s="33" t="s">
        <v>1487</v>
      </c>
      <c r="B313" s="369" t="s">
        <v>1488</v>
      </c>
      <c r="C313" s="370"/>
      <c r="D313" s="370"/>
      <c r="E313" s="27">
        <v>-82859.820000000007</v>
      </c>
      <c r="F313" s="27">
        <v>172259.82</v>
      </c>
      <c r="H313" s="27">
        <v>89400</v>
      </c>
      <c r="J313" s="27">
        <v>0</v>
      </c>
    </row>
    <row r="314" spans="1:10" ht="15.95" customHeight="1" x14ac:dyDescent="0.2">
      <c r="A314" s="33" t="s">
        <v>472</v>
      </c>
      <c r="B314" s="369" t="s">
        <v>473</v>
      </c>
      <c r="C314" s="370"/>
      <c r="D314" s="370"/>
      <c r="E314" s="27">
        <v>0</v>
      </c>
      <c r="F314" s="27">
        <v>34105.279999999999</v>
      </c>
      <c r="H314" s="27">
        <v>36562.11</v>
      </c>
      <c r="J314" s="27">
        <v>-2456.83</v>
      </c>
    </row>
    <row r="315" spans="1:10" ht="15.95" customHeight="1" x14ac:dyDescent="0.2">
      <c r="A315" s="33" t="s">
        <v>474</v>
      </c>
      <c r="B315" s="369" t="s">
        <v>475</v>
      </c>
      <c r="C315" s="370"/>
      <c r="D315" s="370"/>
      <c r="E315" s="27">
        <v>0</v>
      </c>
      <c r="F315" s="27">
        <v>5038.26</v>
      </c>
      <c r="H315" s="27">
        <v>10076.52</v>
      </c>
      <c r="J315" s="27">
        <v>-5038.26</v>
      </c>
    </row>
    <row r="316" spans="1:10" ht="15.95" customHeight="1" x14ac:dyDescent="0.2">
      <c r="A316" s="33" t="s">
        <v>476</v>
      </c>
      <c r="B316" s="369" t="s">
        <v>477</v>
      </c>
      <c r="C316" s="370"/>
      <c r="D316" s="370"/>
      <c r="E316" s="27">
        <v>0</v>
      </c>
      <c r="F316" s="27">
        <v>7152.75</v>
      </c>
      <c r="H316" s="27">
        <v>8745</v>
      </c>
      <c r="J316" s="27">
        <v>-1592.25</v>
      </c>
    </row>
    <row r="317" spans="1:10" ht="15.95" customHeight="1" x14ac:dyDescent="0.2">
      <c r="A317" s="33" t="s">
        <v>1489</v>
      </c>
      <c r="B317" s="369" t="s">
        <v>1490</v>
      </c>
      <c r="C317" s="370"/>
      <c r="D317" s="370"/>
      <c r="E317" s="27">
        <v>0</v>
      </c>
      <c r="F317" s="27">
        <v>33125</v>
      </c>
      <c r="H317" s="27">
        <v>33125</v>
      </c>
      <c r="J317" s="27">
        <v>0</v>
      </c>
    </row>
    <row r="318" spans="1:10" ht="15.95" customHeight="1" x14ac:dyDescent="0.2">
      <c r="A318" s="33" t="s">
        <v>1491</v>
      </c>
      <c r="B318" s="369" t="s">
        <v>1492</v>
      </c>
      <c r="C318" s="370"/>
      <c r="D318" s="370"/>
      <c r="E318" s="27">
        <v>-333069.58</v>
      </c>
      <c r="F318" s="27">
        <v>986978.77</v>
      </c>
      <c r="H318" s="27">
        <v>736590.26</v>
      </c>
      <c r="J318" s="27">
        <v>-82681.070000000007</v>
      </c>
    </row>
    <row r="319" spans="1:10" ht="15.95" customHeight="1" x14ac:dyDescent="0.2">
      <c r="A319" s="33" t="s">
        <v>1493</v>
      </c>
      <c r="B319" s="369" t="s">
        <v>1494</v>
      </c>
      <c r="C319" s="370"/>
      <c r="D319" s="370"/>
      <c r="E319" s="27">
        <v>-43091.42</v>
      </c>
      <c r="F319" s="27">
        <v>43091.42</v>
      </c>
      <c r="H319" s="27">
        <v>0</v>
      </c>
      <c r="J319" s="27">
        <v>0</v>
      </c>
    </row>
    <row r="320" spans="1:10" ht="15.95" customHeight="1" x14ac:dyDescent="0.2">
      <c r="A320" s="33" t="s">
        <v>478</v>
      </c>
      <c r="B320" s="369" t="s">
        <v>479</v>
      </c>
      <c r="C320" s="370"/>
      <c r="D320" s="370"/>
      <c r="E320" s="27">
        <v>0</v>
      </c>
      <c r="F320" s="27">
        <v>11451.8</v>
      </c>
      <c r="H320" s="27">
        <v>11451.8</v>
      </c>
      <c r="J320" s="27">
        <v>0</v>
      </c>
    </row>
    <row r="321" spans="1:10" ht="15.95" customHeight="1" x14ac:dyDescent="0.2">
      <c r="A321" s="33" t="s">
        <v>480</v>
      </c>
      <c r="B321" s="369" t="s">
        <v>481</v>
      </c>
      <c r="C321" s="370"/>
      <c r="D321" s="370"/>
      <c r="E321" s="27">
        <v>0</v>
      </c>
      <c r="F321" s="27">
        <v>4817.3599999999997</v>
      </c>
      <c r="H321" s="27">
        <v>6900</v>
      </c>
      <c r="J321" s="27">
        <v>-2082.64</v>
      </c>
    </row>
    <row r="322" spans="1:10" ht="15.95" customHeight="1" x14ac:dyDescent="0.2">
      <c r="A322" s="33" t="s">
        <v>1595</v>
      </c>
      <c r="B322" s="369" t="s">
        <v>1596</v>
      </c>
      <c r="C322" s="370"/>
      <c r="D322" s="370"/>
      <c r="E322" s="27">
        <v>0</v>
      </c>
      <c r="F322" s="27">
        <v>848.06</v>
      </c>
      <c r="H322" s="27">
        <v>848.06</v>
      </c>
      <c r="J322" s="27">
        <v>0</v>
      </c>
    </row>
    <row r="323" spans="1:10" ht="15.95" customHeight="1" x14ac:dyDescent="0.2">
      <c r="A323" s="33" t="s">
        <v>1495</v>
      </c>
      <c r="B323" s="369" t="s">
        <v>1496</v>
      </c>
      <c r="C323" s="370"/>
      <c r="D323" s="370"/>
      <c r="E323" s="27">
        <v>0</v>
      </c>
      <c r="F323" s="27">
        <v>10336.629999999999</v>
      </c>
      <c r="H323" s="27">
        <v>10336.629999999999</v>
      </c>
      <c r="J323" s="27">
        <v>0</v>
      </c>
    </row>
    <row r="324" spans="1:10" ht="15.95" customHeight="1" x14ac:dyDescent="0.2">
      <c r="A324" s="33" t="s">
        <v>482</v>
      </c>
      <c r="B324" s="369" t="s">
        <v>483</v>
      </c>
      <c r="C324" s="370"/>
      <c r="D324" s="370"/>
      <c r="E324" s="27">
        <v>0</v>
      </c>
      <c r="F324" s="27">
        <v>30766.25</v>
      </c>
      <c r="H324" s="27">
        <v>30766.25</v>
      </c>
      <c r="J324" s="27">
        <v>0</v>
      </c>
    </row>
    <row r="325" spans="1:10" ht="15.95" customHeight="1" x14ac:dyDescent="0.2">
      <c r="A325" s="33" t="s">
        <v>484</v>
      </c>
      <c r="B325" s="369" t="s">
        <v>485</v>
      </c>
      <c r="C325" s="370"/>
      <c r="D325" s="370"/>
      <c r="E325" s="27">
        <v>0</v>
      </c>
      <c r="F325" s="27">
        <v>6323.21</v>
      </c>
      <c r="H325" s="27">
        <v>6323.21</v>
      </c>
      <c r="J325" s="27">
        <v>0</v>
      </c>
    </row>
    <row r="326" spans="1:10" ht="15.95" customHeight="1" x14ac:dyDescent="0.2">
      <c r="A326" s="33" t="s">
        <v>486</v>
      </c>
      <c r="B326" s="369" t="s">
        <v>487</v>
      </c>
      <c r="C326" s="370"/>
      <c r="D326" s="370"/>
      <c r="E326" s="27">
        <v>0</v>
      </c>
      <c r="F326" s="27">
        <v>4340.82</v>
      </c>
      <c r="H326" s="27">
        <v>4340.82</v>
      </c>
      <c r="J326" s="27">
        <v>0</v>
      </c>
    </row>
    <row r="327" spans="1:10" ht="15.95" customHeight="1" x14ac:dyDescent="0.2">
      <c r="A327" s="33" t="s">
        <v>488</v>
      </c>
      <c r="B327" s="369" t="s">
        <v>489</v>
      </c>
      <c r="C327" s="370"/>
      <c r="D327" s="370"/>
      <c r="E327" s="27">
        <v>-129078.55</v>
      </c>
      <c r="F327" s="27">
        <v>769138.67</v>
      </c>
      <c r="H327" s="27">
        <v>640060.12</v>
      </c>
      <c r="J327" s="27">
        <v>0</v>
      </c>
    </row>
    <row r="328" spans="1:10" ht="15.95" customHeight="1" x14ac:dyDescent="0.2">
      <c r="A328" s="33" t="s">
        <v>490</v>
      </c>
      <c r="B328" s="369" t="s">
        <v>491</v>
      </c>
      <c r="C328" s="370"/>
      <c r="D328" s="370"/>
      <c r="E328" s="27">
        <v>0</v>
      </c>
      <c r="F328" s="27">
        <v>15573.81</v>
      </c>
      <c r="H328" s="27">
        <v>18351.73</v>
      </c>
      <c r="J328" s="27">
        <v>-2777.92</v>
      </c>
    </row>
    <row r="329" spans="1:10" ht="15.95" customHeight="1" x14ac:dyDescent="0.2">
      <c r="A329" s="33" t="s">
        <v>492</v>
      </c>
      <c r="B329" s="369" t="s">
        <v>493</v>
      </c>
      <c r="C329" s="370"/>
      <c r="D329" s="370"/>
      <c r="E329" s="27">
        <v>0</v>
      </c>
      <c r="F329" s="27">
        <v>149.12</v>
      </c>
      <c r="H329" s="27">
        <v>149.12</v>
      </c>
      <c r="J329" s="27">
        <v>0</v>
      </c>
    </row>
    <row r="330" spans="1:10" ht="15.95" customHeight="1" x14ac:dyDescent="0.2">
      <c r="A330" s="33" t="s">
        <v>494</v>
      </c>
      <c r="B330" s="369" t="s">
        <v>495</v>
      </c>
      <c r="C330" s="370"/>
      <c r="D330" s="370"/>
      <c r="E330" s="27">
        <v>0</v>
      </c>
      <c r="F330" s="27">
        <v>746.09</v>
      </c>
      <c r="H330" s="27">
        <v>746.09</v>
      </c>
      <c r="J330" s="27">
        <v>0</v>
      </c>
    </row>
    <row r="331" spans="1:10" ht="15.95" customHeight="1" x14ac:dyDescent="0.2">
      <c r="A331" s="33" t="s">
        <v>496</v>
      </c>
      <c r="B331" s="369" t="s">
        <v>497</v>
      </c>
      <c r="C331" s="370"/>
      <c r="D331" s="370"/>
      <c r="E331" s="27">
        <v>-119502.26</v>
      </c>
      <c r="F331" s="27">
        <v>0</v>
      </c>
      <c r="H331" s="27">
        <v>0</v>
      </c>
      <c r="J331" s="27">
        <v>-119502.26</v>
      </c>
    </row>
    <row r="332" spans="1:10" ht="15.95" customHeight="1" x14ac:dyDescent="0.2">
      <c r="A332" s="33" t="s">
        <v>498</v>
      </c>
      <c r="B332" s="369" t="s">
        <v>499</v>
      </c>
      <c r="C332" s="370"/>
      <c r="D332" s="370"/>
      <c r="E332" s="27">
        <v>-1095.99</v>
      </c>
      <c r="F332" s="27">
        <v>7358.35</v>
      </c>
      <c r="H332" s="27">
        <v>7441.25</v>
      </c>
      <c r="J332" s="27">
        <v>-1178.8900000000001</v>
      </c>
    </row>
    <row r="333" spans="1:10" ht="15.95" customHeight="1" x14ac:dyDescent="0.2">
      <c r="A333" s="33" t="s">
        <v>500</v>
      </c>
      <c r="B333" s="369" t="s">
        <v>501</v>
      </c>
      <c r="C333" s="370"/>
      <c r="D333" s="370"/>
      <c r="E333" s="27">
        <v>0</v>
      </c>
      <c r="F333" s="27">
        <v>12050.96</v>
      </c>
      <c r="H333" s="27">
        <v>12050.96</v>
      </c>
      <c r="J333" s="27">
        <v>0</v>
      </c>
    </row>
    <row r="334" spans="1:10" ht="15.95" customHeight="1" x14ac:dyDescent="0.2">
      <c r="A334" s="33" t="s">
        <v>1497</v>
      </c>
      <c r="B334" s="369" t="s">
        <v>1498</v>
      </c>
      <c r="C334" s="370"/>
      <c r="D334" s="370"/>
      <c r="E334" s="27">
        <v>-254415.56</v>
      </c>
      <c r="F334" s="27">
        <v>0</v>
      </c>
      <c r="H334" s="27">
        <v>0</v>
      </c>
      <c r="J334" s="27">
        <v>-254415.56</v>
      </c>
    </row>
    <row r="335" spans="1:10" ht="15.95" customHeight="1" x14ac:dyDescent="0.2">
      <c r="A335" s="33" t="s">
        <v>502</v>
      </c>
      <c r="B335" s="369" t="s">
        <v>503</v>
      </c>
      <c r="C335" s="370"/>
      <c r="D335" s="370"/>
      <c r="E335" s="27">
        <v>0</v>
      </c>
      <c r="F335" s="27">
        <v>1320332.31</v>
      </c>
      <c r="H335" s="27">
        <v>1383486.62</v>
      </c>
      <c r="J335" s="27">
        <v>-63154.31</v>
      </c>
    </row>
    <row r="336" spans="1:10" ht="15.95" customHeight="1" x14ac:dyDescent="0.2">
      <c r="A336" s="33" t="s">
        <v>504</v>
      </c>
      <c r="B336" s="369" t="s">
        <v>505</v>
      </c>
      <c r="C336" s="370"/>
      <c r="D336" s="370"/>
      <c r="E336" s="27">
        <v>-3169.28</v>
      </c>
      <c r="F336" s="27">
        <v>22475.360000000001</v>
      </c>
      <c r="H336" s="27">
        <v>22482.48</v>
      </c>
      <c r="J336" s="27">
        <v>-3176.4</v>
      </c>
    </row>
    <row r="337" spans="1:10" ht="15.95" customHeight="1" x14ac:dyDescent="0.2">
      <c r="A337" s="33" t="s">
        <v>506</v>
      </c>
      <c r="B337" s="369" t="s">
        <v>507</v>
      </c>
      <c r="C337" s="370"/>
      <c r="D337" s="370"/>
      <c r="E337" s="27">
        <v>-6.69</v>
      </c>
      <c r="F337" s="27">
        <v>750048.41</v>
      </c>
      <c r="H337" s="27">
        <v>750041.72</v>
      </c>
      <c r="J337" s="27">
        <v>0</v>
      </c>
    </row>
    <row r="338" spans="1:10" ht="15.95" customHeight="1" x14ac:dyDescent="0.2">
      <c r="A338" s="33" t="s">
        <v>510</v>
      </c>
      <c r="B338" s="369" t="s">
        <v>511</v>
      </c>
      <c r="C338" s="370"/>
      <c r="D338" s="370"/>
      <c r="E338" s="27">
        <v>-331002</v>
      </c>
      <c r="F338" s="27">
        <v>717403.75</v>
      </c>
      <c r="H338" s="27">
        <v>586600</v>
      </c>
      <c r="J338" s="27">
        <v>-200198.25</v>
      </c>
    </row>
    <row r="339" spans="1:10" ht="15.95" customHeight="1" x14ac:dyDescent="0.2">
      <c r="A339" s="33" t="s">
        <v>1499</v>
      </c>
      <c r="B339" s="369" t="s">
        <v>1500</v>
      </c>
      <c r="C339" s="370"/>
      <c r="D339" s="370"/>
      <c r="E339" s="27">
        <v>0</v>
      </c>
      <c r="F339" s="27">
        <v>33557.08</v>
      </c>
      <c r="H339" s="27">
        <v>35169.53</v>
      </c>
      <c r="J339" s="27">
        <v>-1612.45</v>
      </c>
    </row>
    <row r="340" spans="1:10" ht="15.95" customHeight="1" x14ac:dyDescent="0.2">
      <c r="A340" s="33" t="s">
        <v>512</v>
      </c>
      <c r="B340" s="369" t="s">
        <v>513</v>
      </c>
      <c r="C340" s="370"/>
      <c r="D340" s="370"/>
      <c r="E340" s="27">
        <v>-1606.1</v>
      </c>
      <c r="F340" s="27">
        <v>0</v>
      </c>
      <c r="H340" s="27">
        <v>0</v>
      </c>
      <c r="J340" s="27">
        <v>-1606.1</v>
      </c>
    </row>
    <row r="341" spans="1:10" ht="15.95" customHeight="1" x14ac:dyDescent="0.2">
      <c r="A341" s="33" t="s">
        <v>1501</v>
      </c>
      <c r="B341" s="369" t="s">
        <v>1502</v>
      </c>
      <c r="C341" s="370"/>
      <c r="D341" s="370"/>
      <c r="E341" s="27">
        <v>0</v>
      </c>
      <c r="F341" s="27">
        <v>17341.79</v>
      </c>
      <c r="H341" s="27">
        <v>17341.79</v>
      </c>
      <c r="J341" s="27">
        <v>0</v>
      </c>
    </row>
    <row r="342" spans="1:10" ht="15.95" customHeight="1" x14ac:dyDescent="0.2">
      <c r="A342" s="33" t="s">
        <v>1503</v>
      </c>
      <c r="B342" s="369" t="s">
        <v>1504</v>
      </c>
      <c r="C342" s="370"/>
      <c r="D342" s="370"/>
      <c r="E342" s="27">
        <v>-427.72</v>
      </c>
      <c r="F342" s="27">
        <v>1468.72</v>
      </c>
      <c r="H342" s="27">
        <v>1041</v>
      </c>
      <c r="J342" s="27">
        <v>0</v>
      </c>
    </row>
    <row r="343" spans="1:10" ht="15.95" customHeight="1" x14ac:dyDescent="0.2">
      <c r="A343" s="33" t="s">
        <v>1597</v>
      </c>
      <c r="B343" s="369" t="s">
        <v>1598</v>
      </c>
      <c r="C343" s="370"/>
      <c r="D343" s="370"/>
      <c r="E343" s="27">
        <v>0</v>
      </c>
      <c r="F343" s="27">
        <v>5245.2</v>
      </c>
      <c r="H343" s="27">
        <v>5245.2</v>
      </c>
      <c r="J343" s="27">
        <v>0</v>
      </c>
    </row>
    <row r="344" spans="1:10" ht="15.95" customHeight="1" x14ac:dyDescent="0.2">
      <c r="A344" s="33" t="s">
        <v>514</v>
      </c>
      <c r="B344" s="369" t="s">
        <v>515</v>
      </c>
      <c r="C344" s="370"/>
      <c r="D344" s="370"/>
      <c r="E344" s="27">
        <v>-66899.520000000004</v>
      </c>
      <c r="F344" s="27">
        <v>243182.83</v>
      </c>
      <c r="H344" s="27">
        <v>176283.31</v>
      </c>
      <c r="J344" s="27">
        <v>0</v>
      </c>
    </row>
    <row r="345" spans="1:10" ht="15.95" customHeight="1" x14ac:dyDescent="0.2">
      <c r="A345" s="33" t="s">
        <v>516</v>
      </c>
      <c r="B345" s="369" t="s">
        <v>517</v>
      </c>
      <c r="C345" s="370"/>
      <c r="D345" s="370"/>
      <c r="E345" s="27">
        <v>-6121.35</v>
      </c>
      <c r="F345" s="27">
        <v>0</v>
      </c>
      <c r="H345" s="27">
        <v>0</v>
      </c>
      <c r="J345" s="27">
        <v>-6121.35</v>
      </c>
    </row>
    <row r="346" spans="1:10" ht="15.95" customHeight="1" x14ac:dyDescent="0.2">
      <c r="A346" s="33" t="s">
        <v>518</v>
      </c>
      <c r="B346" s="369" t="s">
        <v>519</v>
      </c>
      <c r="C346" s="370"/>
      <c r="D346" s="370"/>
      <c r="E346" s="27">
        <v>-336097.33</v>
      </c>
      <c r="F346" s="27">
        <v>0</v>
      </c>
      <c r="H346" s="27">
        <v>0</v>
      </c>
      <c r="J346" s="27">
        <v>-336097.33</v>
      </c>
    </row>
    <row r="347" spans="1:10" ht="15.95" customHeight="1" x14ac:dyDescent="0.2">
      <c r="A347" s="33" t="s">
        <v>1505</v>
      </c>
      <c r="B347" s="369" t="s">
        <v>1506</v>
      </c>
      <c r="C347" s="370"/>
      <c r="D347" s="370"/>
      <c r="E347" s="27">
        <v>0</v>
      </c>
      <c r="F347" s="27">
        <v>4465.08</v>
      </c>
      <c r="H347" s="27">
        <v>4465.08</v>
      </c>
      <c r="J347" s="27">
        <v>0</v>
      </c>
    </row>
    <row r="348" spans="1:10" ht="15.95" customHeight="1" x14ac:dyDescent="0.2">
      <c r="A348" s="33" t="s">
        <v>1507</v>
      </c>
      <c r="B348" s="369" t="s">
        <v>1508</v>
      </c>
      <c r="C348" s="370"/>
      <c r="D348" s="370"/>
      <c r="E348" s="27">
        <v>0</v>
      </c>
      <c r="F348" s="27">
        <v>1410</v>
      </c>
      <c r="H348" s="27">
        <v>1410</v>
      </c>
      <c r="J348" s="27">
        <v>0</v>
      </c>
    </row>
    <row r="349" spans="1:10" ht="15.95" customHeight="1" x14ac:dyDescent="0.2">
      <c r="A349" s="33" t="s">
        <v>520</v>
      </c>
      <c r="B349" s="369" t="s">
        <v>521</v>
      </c>
      <c r="C349" s="370"/>
      <c r="D349" s="370"/>
      <c r="E349" s="27">
        <v>-179657.48</v>
      </c>
      <c r="F349" s="27">
        <v>152045.48000000001</v>
      </c>
      <c r="H349" s="27">
        <v>0</v>
      </c>
      <c r="J349" s="27">
        <v>-27612</v>
      </c>
    </row>
    <row r="350" spans="1:10" ht="15.95" customHeight="1" x14ac:dyDescent="0.2">
      <c r="A350" s="33" t="s">
        <v>522</v>
      </c>
      <c r="B350" s="369" t="s">
        <v>523</v>
      </c>
      <c r="C350" s="370"/>
      <c r="D350" s="370"/>
      <c r="E350" s="27">
        <v>-5515.14</v>
      </c>
      <c r="F350" s="27">
        <v>48529.26</v>
      </c>
      <c r="H350" s="27">
        <v>48855.77</v>
      </c>
      <c r="J350" s="27">
        <v>-5841.65</v>
      </c>
    </row>
    <row r="351" spans="1:10" ht="15.95" customHeight="1" x14ac:dyDescent="0.2">
      <c r="A351" s="33" t="s">
        <v>524</v>
      </c>
      <c r="B351" s="369" t="s">
        <v>525</v>
      </c>
      <c r="C351" s="370"/>
      <c r="D351" s="370"/>
      <c r="E351" s="27">
        <v>0</v>
      </c>
      <c r="F351" s="27">
        <v>650164.67000000004</v>
      </c>
      <c r="H351" s="27">
        <v>650164.67000000004</v>
      </c>
      <c r="J351" s="27">
        <v>0</v>
      </c>
    </row>
    <row r="352" spans="1:10" ht="15.95" customHeight="1" x14ac:dyDescent="0.2">
      <c r="A352" s="33" t="s">
        <v>1509</v>
      </c>
      <c r="B352" s="369" t="s">
        <v>1510</v>
      </c>
      <c r="C352" s="370"/>
      <c r="D352" s="370"/>
      <c r="E352" s="27">
        <v>0</v>
      </c>
      <c r="F352" s="27">
        <v>440</v>
      </c>
      <c r="H352" s="27">
        <v>440</v>
      </c>
      <c r="J352" s="27">
        <v>0</v>
      </c>
    </row>
    <row r="353" spans="1:10" ht="15.95" customHeight="1" x14ac:dyDescent="0.2">
      <c r="A353" s="33" t="s">
        <v>526</v>
      </c>
      <c r="B353" s="369" t="s">
        <v>527</v>
      </c>
      <c r="C353" s="370"/>
      <c r="D353" s="370"/>
      <c r="E353" s="27">
        <v>-943.19</v>
      </c>
      <c r="F353" s="27">
        <v>1836.28</v>
      </c>
      <c r="H353" s="27">
        <v>893.09</v>
      </c>
      <c r="J353" s="27">
        <v>0</v>
      </c>
    </row>
    <row r="354" spans="1:10" ht="15.95" customHeight="1" x14ac:dyDescent="0.2">
      <c r="A354" s="33" t="s">
        <v>528</v>
      </c>
      <c r="B354" s="369" t="s">
        <v>529</v>
      </c>
      <c r="C354" s="370"/>
      <c r="D354" s="370"/>
      <c r="E354" s="27">
        <v>0</v>
      </c>
      <c r="F354" s="27">
        <v>1704</v>
      </c>
      <c r="H354" s="27">
        <v>1704</v>
      </c>
      <c r="J354" s="27">
        <v>0</v>
      </c>
    </row>
    <row r="355" spans="1:10" ht="15.95" customHeight="1" x14ac:dyDescent="0.2">
      <c r="A355" s="33" t="s">
        <v>530</v>
      </c>
      <c r="B355" s="369" t="s">
        <v>531</v>
      </c>
      <c r="C355" s="370"/>
      <c r="D355" s="370"/>
      <c r="E355" s="27">
        <v>-30222.15</v>
      </c>
      <c r="F355" s="27">
        <v>166971.54</v>
      </c>
      <c r="H355" s="27">
        <v>152008.9</v>
      </c>
      <c r="J355" s="27">
        <v>-15259.51</v>
      </c>
    </row>
    <row r="356" spans="1:10" ht="15.95" customHeight="1" x14ac:dyDescent="0.2">
      <c r="A356" s="33" t="s">
        <v>1511</v>
      </c>
      <c r="B356" s="369" t="s">
        <v>1512</v>
      </c>
      <c r="C356" s="370"/>
      <c r="D356" s="370"/>
      <c r="E356" s="27">
        <v>0</v>
      </c>
      <c r="F356" s="27">
        <v>46865.4</v>
      </c>
      <c r="H356" s="27">
        <v>46865.4</v>
      </c>
      <c r="J356" s="27">
        <v>0</v>
      </c>
    </row>
    <row r="357" spans="1:10" ht="15.95" customHeight="1" x14ac:dyDescent="0.2">
      <c r="A357" s="33" t="s">
        <v>532</v>
      </c>
      <c r="B357" s="369" t="s">
        <v>533</v>
      </c>
      <c r="C357" s="370"/>
      <c r="D357" s="370"/>
      <c r="E357" s="27">
        <v>-1886.04</v>
      </c>
      <c r="F357" s="27">
        <v>12297.97</v>
      </c>
      <c r="H357" s="27">
        <v>12014.24</v>
      </c>
      <c r="J357" s="27">
        <v>-1602.31</v>
      </c>
    </row>
    <row r="358" spans="1:10" ht="15.95" customHeight="1" x14ac:dyDescent="0.2">
      <c r="A358" s="33" t="s">
        <v>534</v>
      </c>
      <c r="B358" s="369" t="s">
        <v>535</v>
      </c>
      <c r="C358" s="370"/>
      <c r="D358" s="370"/>
      <c r="E358" s="27">
        <v>0</v>
      </c>
      <c r="F358" s="27">
        <v>1540999.54</v>
      </c>
      <c r="H358" s="27">
        <v>1598454.61</v>
      </c>
      <c r="J358" s="27">
        <v>-57455.07</v>
      </c>
    </row>
    <row r="359" spans="1:10" ht="27.95" customHeight="1" x14ac:dyDescent="0.2">
      <c r="A359" s="33" t="s">
        <v>1513</v>
      </c>
      <c r="B359" s="369" t="s">
        <v>1514</v>
      </c>
      <c r="C359" s="370"/>
      <c r="D359" s="370"/>
      <c r="E359" s="27">
        <v>0</v>
      </c>
      <c r="F359" s="27">
        <v>15495.21</v>
      </c>
      <c r="H359" s="27">
        <v>15495.21</v>
      </c>
      <c r="J359" s="27">
        <v>0</v>
      </c>
    </row>
    <row r="360" spans="1:10" ht="15.95" customHeight="1" x14ac:dyDescent="0.2">
      <c r="A360" s="401" t="s">
        <v>1441</v>
      </c>
      <c r="B360" s="370"/>
      <c r="C360" s="370"/>
      <c r="D360" s="102" t="s">
        <v>1744</v>
      </c>
      <c r="J360" s="103" t="s">
        <v>1745</v>
      </c>
    </row>
    <row r="361" spans="1:10" ht="20.100000000000001" customHeight="1" x14ac:dyDescent="0.2">
      <c r="A361" s="99" t="s">
        <v>1424</v>
      </c>
      <c r="J361" s="100" t="s">
        <v>1751</v>
      </c>
    </row>
    <row r="362" spans="1:10" ht="15.95" customHeight="1" x14ac:dyDescent="0.2">
      <c r="A362" s="33" t="s">
        <v>1739</v>
      </c>
      <c r="C362" s="33" t="s">
        <v>0</v>
      </c>
      <c r="J362" s="27" t="s">
        <v>1740</v>
      </c>
    </row>
    <row r="363" spans="1:10" ht="14.1" customHeight="1" x14ac:dyDescent="0.2">
      <c r="A363" s="101" t="s">
        <v>1741</v>
      </c>
      <c r="J363" s="27" t="s">
        <v>1742</v>
      </c>
    </row>
    <row r="364" spans="1:10" ht="15" customHeight="1" x14ac:dyDescent="0.2">
      <c r="A364" s="101" t="s">
        <v>1743</v>
      </c>
    </row>
    <row r="365" spans="1:10" ht="23.1" customHeight="1" x14ac:dyDescent="0.2">
      <c r="A365" s="23" t="s">
        <v>55</v>
      </c>
      <c r="B365" s="23" t="s">
        <v>56</v>
      </c>
      <c r="E365" s="24" t="s">
        <v>57</v>
      </c>
      <c r="F365" s="24" t="s">
        <v>58</v>
      </c>
      <c r="H365" s="24" t="s">
        <v>59</v>
      </c>
      <c r="J365" s="24" t="s">
        <v>60</v>
      </c>
    </row>
    <row r="366" spans="1:10" ht="15.95" customHeight="1" x14ac:dyDescent="0.2">
      <c r="A366" s="33" t="s">
        <v>536</v>
      </c>
      <c r="B366" s="369" t="s">
        <v>537</v>
      </c>
      <c r="C366" s="370"/>
      <c r="D366" s="370"/>
      <c r="E366" s="27">
        <v>0</v>
      </c>
      <c r="F366" s="27">
        <v>78540.600000000006</v>
      </c>
      <c r="H366" s="27">
        <v>78540.600000000006</v>
      </c>
      <c r="J366" s="27">
        <v>0</v>
      </c>
    </row>
    <row r="367" spans="1:10" ht="15.95" customHeight="1" x14ac:dyDescent="0.2">
      <c r="A367" s="33" t="s">
        <v>538</v>
      </c>
      <c r="B367" s="369" t="s">
        <v>539</v>
      </c>
      <c r="C367" s="370"/>
      <c r="D367" s="370"/>
      <c r="E367" s="27">
        <v>-1235</v>
      </c>
      <c r="F367" s="27">
        <v>7735</v>
      </c>
      <c r="H367" s="27">
        <v>6500</v>
      </c>
      <c r="J367" s="27">
        <v>0</v>
      </c>
    </row>
    <row r="368" spans="1:10" ht="15.95" customHeight="1" x14ac:dyDescent="0.2">
      <c r="A368" s="33" t="s">
        <v>540</v>
      </c>
      <c r="B368" s="369" t="s">
        <v>541</v>
      </c>
      <c r="C368" s="370"/>
      <c r="D368" s="370"/>
      <c r="E368" s="27">
        <v>-99496.55</v>
      </c>
      <c r="F368" s="27">
        <v>0</v>
      </c>
      <c r="H368" s="27">
        <v>0</v>
      </c>
      <c r="J368" s="27">
        <v>-99496.55</v>
      </c>
    </row>
    <row r="369" spans="1:10" ht="15.95" customHeight="1" x14ac:dyDescent="0.2">
      <c r="A369" s="33" t="s">
        <v>1515</v>
      </c>
      <c r="B369" s="369" t="s">
        <v>1516</v>
      </c>
      <c r="C369" s="370"/>
      <c r="D369" s="370"/>
      <c r="E369" s="27">
        <v>0</v>
      </c>
      <c r="F369" s="27">
        <v>799178.26</v>
      </c>
      <c r="H369" s="27">
        <v>1213530.51</v>
      </c>
      <c r="J369" s="27">
        <v>-414352.25</v>
      </c>
    </row>
    <row r="370" spans="1:10" ht="15.95" customHeight="1" x14ac:dyDescent="0.2">
      <c r="A370" s="33" t="s">
        <v>542</v>
      </c>
      <c r="B370" s="369" t="s">
        <v>543</v>
      </c>
      <c r="C370" s="370"/>
      <c r="D370" s="370"/>
      <c r="E370" s="27">
        <v>0</v>
      </c>
      <c r="F370" s="27">
        <v>375348</v>
      </c>
      <c r="H370" s="27">
        <v>375348</v>
      </c>
      <c r="J370" s="27">
        <v>0</v>
      </c>
    </row>
    <row r="371" spans="1:10" ht="15.95" customHeight="1" x14ac:dyDescent="0.2">
      <c r="A371" s="33" t="s">
        <v>544</v>
      </c>
      <c r="B371" s="369" t="s">
        <v>545</v>
      </c>
      <c r="C371" s="370"/>
      <c r="D371" s="370"/>
      <c r="E371" s="27">
        <v>0</v>
      </c>
      <c r="F371" s="27">
        <v>115857.36</v>
      </c>
      <c r="H371" s="27">
        <v>133159.82</v>
      </c>
      <c r="J371" s="27">
        <v>-17302.46</v>
      </c>
    </row>
    <row r="372" spans="1:10" ht="15.95" customHeight="1" x14ac:dyDescent="0.2">
      <c r="A372" s="33" t="s">
        <v>546</v>
      </c>
      <c r="B372" s="369" t="s">
        <v>547</v>
      </c>
      <c r="C372" s="370"/>
      <c r="D372" s="370"/>
      <c r="E372" s="27">
        <v>0</v>
      </c>
      <c r="F372" s="27">
        <v>598141.6</v>
      </c>
      <c r="H372" s="27">
        <v>598141.6</v>
      </c>
      <c r="J372" s="27">
        <v>0</v>
      </c>
    </row>
    <row r="373" spans="1:10" ht="15.95" customHeight="1" x14ac:dyDescent="0.2">
      <c r="A373" s="33" t="s">
        <v>548</v>
      </c>
      <c r="B373" s="369" t="s">
        <v>549</v>
      </c>
      <c r="C373" s="370"/>
      <c r="D373" s="370"/>
      <c r="E373" s="27">
        <v>0</v>
      </c>
      <c r="F373" s="27">
        <v>59090.239999999998</v>
      </c>
      <c r="H373" s="27">
        <v>59090.239999999998</v>
      </c>
      <c r="J373" s="27">
        <v>0</v>
      </c>
    </row>
    <row r="374" spans="1:10" ht="15.95" customHeight="1" x14ac:dyDescent="0.2">
      <c r="A374" s="33" t="s">
        <v>1517</v>
      </c>
      <c r="B374" s="369" t="s">
        <v>1518</v>
      </c>
      <c r="C374" s="370"/>
      <c r="D374" s="370"/>
      <c r="E374" s="27">
        <v>5.49</v>
      </c>
      <c r="F374" s="27">
        <v>716.01</v>
      </c>
      <c r="H374" s="27">
        <v>721.5</v>
      </c>
      <c r="J374" s="27">
        <v>0</v>
      </c>
    </row>
    <row r="375" spans="1:10" ht="15.95" customHeight="1" x14ac:dyDescent="0.2">
      <c r="A375" s="33" t="s">
        <v>1519</v>
      </c>
      <c r="B375" s="369" t="s">
        <v>1520</v>
      </c>
      <c r="C375" s="370"/>
      <c r="D375" s="370"/>
      <c r="E375" s="27">
        <v>-3931.04</v>
      </c>
      <c r="F375" s="27">
        <v>25031.919999999998</v>
      </c>
      <c r="H375" s="27">
        <v>21100.880000000001</v>
      </c>
      <c r="J375" s="27">
        <v>0</v>
      </c>
    </row>
    <row r="376" spans="1:10" ht="15.95" customHeight="1" x14ac:dyDescent="0.2">
      <c r="A376" s="33" t="s">
        <v>550</v>
      </c>
      <c r="B376" s="369" t="s">
        <v>551</v>
      </c>
      <c r="C376" s="370"/>
      <c r="D376" s="370"/>
      <c r="E376" s="27">
        <v>0</v>
      </c>
      <c r="F376" s="27">
        <v>86026.81</v>
      </c>
      <c r="H376" s="27">
        <v>86026.81</v>
      </c>
      <c r="J376" s="27">
        <v>0</v>
      </c>
    </row>
    <row r="377" spans="1:10" ht="15.95" customHeight="1" x14ac:dyDescent="0.2">
      <c r="A377" s="33" t="s">
        <v>1521</v>
      </c>
      <c r="B377" s="369" t="s">
        <v>1522</v>
      </c>
      <c r="C377" s="370"/>
      <c r="D377" s="370"/>
      <c r="E377" s="27">
        <v>-1125</v>
      </c>
      <c r="F377" s="27">
        <v>6750</v>
      </c>
      <c r="H377" s="27">
        <v>5625</v>
      </c>
      <c r="J377" s="27">
        <v>0</v>
      </c>
    </row>
    <row r="378" spans="1:10" ht="15.95" customHeight="1" x14ac:dyDescent="0.2">
      <c r="A378" s="33" t="s">
        <v>552</v>
      </c>
      <c r="B378" s="369" t="s">
        <v>553</v>
      </c>
      <c r="C378" s="370"/>
      <c r="D378" s="370"/>
      <c r="E378" s="27">
        <v>0</v>
      </c>
      <c r="F378" s="27">
        <v>5959.58</v>
      </c>
      <c r="H378" s="27">
        <v>5959.58</v>
      </c>
      <c r="J378" s="27">
        <v>0</v>
      </c>
    </row>
    <row r="379" spans="1:10" ht="15.95" customHeight="1" x14ac:dyDescent="0.2">
      <c r="A379" s="33" t="s">
        <v>1599</v>
      </c>
      <c r="B379" s="369" t="s">
        <v>1600</v>
      </c>
      <c r="C379" s="370"/>
      <c r="D379" s="370"/>
      <c r="E379" s="27">
        <v>-3764.2</v>
      </c>
      <c r="F379" s="27">
        <v>3764.2</v>
      </c>
      <c r="H379" s="27">
        <v>0</v>
      </c>
      <c r="J379" s="27">
        <v>0</v>
      </c>
    </row>
    <row r="380" spans="1:10" ht="15.95" customHeight="1" x14ac:dyDescent="0.2">
      <c r="A380" s="33" t="s">
        <v>1601</v>
      </c>
      <c r="B380" s="369" t="s">
        <v>1602</v>
      </c>
      <c r="C380" s="370"/>
      <c r="D380" s="370"/>
      <c r="E380" s="27">
        <v>-26400</v>
      </c>
      <c r="F380" s="27">
        <v>26400</v>
      </c>
      <c r="H380" s="27">
        <v>0</v>
      </c>
      <c r="J380" s="27">
        <v>0</v>
      </c>
    </row>
    <row r="381" spans="1:10" ht="15.95" customHeight="1" x14ac:dyDescent="0.2">
      <c r="A381" s="33" t="s">
        <v>1603</v>
      </c>
      <c r="B381" s="369" t="s">
        <v>1604</v>
      </c>
      <c r="C381" s="370"/>
      <c r="D381" s="370"/>
      <c r="E381" s="27">
        <v>-7190</v>
      </c>
      <c r="F381" s="27">
        <v>7190</v>
      </c>
      <c r="H381" s="27">
        <v>0</v>
      </c>
      <c r="J381" s="27">
        <v>0</v>
      </c>
    </row>
    <row r="382" spans="1:10" ht="15.95" customHeight="1" x14ac:dyDescent="0.2">
      <c r="A382" s="33" t="s">
        <v>554</v>
      </c>
      <c r="B382" s="369" t="s">
        <v>555</v>
      </c>
      <c r="C382" s="370"/>
      <c r="D382" s="370"/>
      <c r="E382" s="27">
        <v>0</v>
      </c>
      <c r="F382" s="27">
        <v>629.75</v>
      </c>
      <c r="H382" s="27">
        <v>629.75</v>
      </c>
      <c r="J382" s="27">
        <v>0</v>
      </c>
    </row>
    <row r="383" spans="1:10" ht="15.95" customHeight="1" x14ac:dyDescent="0.2">
      <c r="A383" s="33">
        <v>2110102</v>
      </c>
      <c r="B383" s="369" t="s">
        <v>566</v>
      </c>
      <c r="C383" s="370"/>
      <c r="D383" s="370"/>
      <c r="E383" s="27">
        <v>-404681.88</v>
      </c>
      <c r="F383" s="27">
        <v>2104182.56</v>
      </c>
      <c r="H383" s="27">
        <v>2080434.46</v>
      </c>
      <c r="J383" s="27">
        <v>-380933.78</v>
      </c>
    </row>
    <row r="384" spans="1:10" ht="15.95" customHeight="1" x14ac:dyDescent="0.2">
      <c r="A384" s="33" t="s">
        <v>567</v>
      </c>
      <c r="B384" s="369" t="s">
        <v>568</v>
      </c>
      <c r="C384" s="370"/>
      <c r="D384" s="370"/>
      <c r="E384" s="27">
        <v>0</v>
      </c>
      <c r="F384" s="27">
        <v>1437</v>
      </c>
      <c r="H384" s="27">
        <v>1437</v>
      </c>
      <c r="J384" s="27">
        <v>0</v>
      </c>
    </row>
    <row r="385" spans="1:10" ht="15.95" customHeight="1" x14ac:dyDescent="0.2">
      <c r="A385" s="33" t="s">
        <v>569</v>
      </c>
      <c r="B385" s="369" t="s">
        <v>570</v>
      </c>
      <c r="C385" s="370"/>
      <c r="D385" s="370"/>
      <c r="E385" s="27">
        <v>0</v>
      </c>
      <c r="F385" s="27">
        <v>70764.990000000005</v>
      </c>
      <c r="H385" s="27">
        <v>70764.990000000005</v>
      </c>
      <c r="J385" s="27">
        <v>0</v>
      </c>
    </row>
    <row r="386" spans="1:10" ht="15.95" customHeight="1" x14ac:dyDescent="0.2">
      <c r="A386" s="33" t="s">
        <v>571</v>
      </c>
      <c r="B386" s="369" t="s">
        <v>572</v>
      </c>
      <c r="C386" s="370"/>
      <c r="D386" s="370"/>
      <c r="E386" s="27">
        <v>0</v>
      </c>
      <c r="F386" s="27">
        <v>10605.84</v>
      </c>
      <c r="H386" s="27">
        <v>10605.84</v>
      </c>
      <c r="J386" s="27">
        <v>0</v>
      </c>
    </row>
    <row r="387" spans="1:10" ht="15.95" customHeight="1" x14ac:dyDescent="0.2">
      <c r="A387" s="33" t="s">
        <v>573</v>
      </c>
      <c r="B387" s="369" t="s">
        <v>574</v>
      </c>
      <c r="C387" s="370"/>
      <c r="D387" s="370"/>
      <c r="E387" s="27">
        <v>-10044.700000000001</v>
      </c>
      <c r="F387" s="27">
        <v>65077.74</v>
      </c>
      <c r="H387" s="27">
        <v>55033.04</v>
      </c>
      <c r="J387" s="27">
        <v>0</v>
      </c>
    </row>
    <row r="388" spans="1:10" ht="15.95" customHeight="1" x14ac:dyDescent="0.2">
      <c r="A388" s="33" t="s">
        <v>575</v>
      </c>
      <c r="B388" s="369" t="s">
        <v>576</v>
      </c>
      <c r="C388" s="370"/>
      <c r="D388" s="370"/>
      <c r="E388" s="27">
        <v>-1600</v>
      </c>
      <c r="F388" s="27">
        <v>11882.66</v>
      </c>
      <c r="H388" s="27">
        <v>12565.32</v>
      </c>
      <c r="J388" s="27">
        <v>-2282.66</v>
      </c>
    </row>
    <row r="389" spans="1:10" ht="15.95" customHeight="1" x14ac:dyDescent="0.2">
      <c r="A389" s="33" t="s">
        <v>1605</v>
      </c>
      <c r="B389" s="369" t="s">
        <v>1606</v>
      </c>
      <c r="C389" s="370"/>
      <c r="D389" s="370"/>
      <c r="E389" s="27">
        <v>-2277.16</v>
      </c>
      <c r="F389" s="27">
        <v>2277.16</v>
      </c>
      <c r="H389" s="27">
        <v>0</v>
      </c>
      <c r="J389" s="27">
        <v>0</v>
      </c>
    </row>
    <row r="390" spans="1:10" ht="15.95" customHeight="1" x14ac:dyDescent="0.2">
      <c r="A390" s="33" t="s">
        <v>1523</v>
      </c>
      <c r="B390" s="369" t="s">
        <v>1524</v>
      </c>
      <c r="C390" s="370"/>
      <c r="D390" s="370"/>
      <c r="E390" s="27">
        <v>-374650.46</v>
      </c>
      <c r="F390" s="27">
        <v>0</v>
      </c>
      <c r="H390" s="27">
        <v>0</v>
      </c>
      <c r="J390" s="27">
        <v>-374650.46</v>
      </c>
    </row>
    <row r="391" spans="1:10" ht="15.95" customHeight="1" x14ac:dyDescent="0.2">
      <c r="A391" s="33" t="s">
        <v>1525</v>
      </c>
      <c r="B391" s="369" t="s">
        <v>1526</v>
      </c>
      <c r="C391" s="370"/>
      <c r="D391" s="370"/>
      <c r="E391" s="27">
        <v>0</v>
      </c>
      <c r="F391" s="27">
        <v>11629.2</v>
      </c>
      <c r="H391" s="27">
        <v>11629.2</v>
      </c>
      <c r="J391" s="27">
        <v>0</v>
      </c>
    </row>
    <row r="392" spans="1:10" ht="15.95" customHeight="1" x14ac:dyDescent="0.2">
      <c r="A392" s="33" t="s">
        <v>577</v>
      </c>
      <c r="B392" s="369" t="s">
        <v>578</v>
      </c>
      <c r="C392" s="370"/>
      <c r="D392" s="370"/>
      <c r="E392" s="27">
        <v>0</v>
      </c>
      <c r="F392" s="27">
        <v>13109</v>
      </c>
      <c r="H392" s="27">
        <v>13109</v>
      </c>
      <c r="J392" s="27">
        <v>0</v>
      </c>
    </row>
    <row r="393" spans="1:10" ht="15.95" customHeight="1" x14ac:dyDescent="0.2">
      <c r="A393" s="33" t="s">
        <v>581</v>
      </c>
      <c r="B393" s="369" t="s">
        <v>582</v>
      </c>
      <c r="C393" s="370"/>
      <c r="D393" s="370"/>
      <c r="E393" s="27">
        <v>0</v>
      </c>
      <c r="F393" s="27">
        <v>1214941.98</v>
      </c>
      <c r="H393" s="27">
        <v>1214941.98</v>
      </c>
      <c r="J393" s="27">
        <v>0</v>
      </c>
    </row>
    <row r="394" spans="1:10" ht="15.95" customHeight="1" x14ac:dyDescent="0.2">
      <c r="A394" s="33" t="s">
        <v>583</v>
      </c>
      <c r="B394" s="369" t="s">
        <v>584</v>
      </c>
      <c r="C394" s="370"/>
      <c r="D394" s="370"/>
      <c r="E394" s="27">
        <v>-3793.16</v>
      </c>
      <c r="F394" s="27">
        <v>0</v>
      </c>
      <c r="H394" s="27">
        <v>0</v>
      </c>
      <c r="J394" s="27">
        <v>-3793.16</v>
      </c>
    </row>
    <row r="395" spans="1:10" ht="15.95" customHeight="1" x14ac:dyDescent="0.2">
      <c r="A395" s="33" t="s">
        <v>585</v>
      </c>
      <c r="B395" s="369" t="s">
        <v>586</v>
      </c>
      <c r="C395" s="370"/>
      <c r="D395" s="370"/>
      <c r="E395" s="27">
        <v>0</v>
      </c>
      <c r="F395" s="27">
        <v>1477.45</v>
      </c>
      <c r="H395" s="27">
        <v>1477.45</v>
      </c>
      <c r="J395" s="27">
        <v>0</v>
      </c>
    </row>
    <row r="396" spans="1:10" ht="15.95" customHeight="1" x14ac:dyDescent="0.2">
      <c r="A396" s="33" t="s">
        <v>1527</v>
      </c>
      <c r="B396" s="369" t="s">
        <v>1528</v>
      </c>
      <c r="C396" s="370"/>
      <c r="D396" s="370"/>
      <c r="E396" s="27">
        <v>0</v>
      </c>
      <c r="F396" s="27">
        <v>502814.28</v>
      </c>
      <c r="H396" s="27">
        <v>502814.28</v>
      </c>
      <c r="J396" s="27">
        <v>0</v>
      </c>
    </row>
    <row r="397" spans="1:10" ht="15.95" customHeight="1" x14ac:dyDescent="0.2">
      <c r="A397" s="33" t="s">
        <v>1607</v>
      </c>
      <c r="B397" s="369" t="s">
        <v>1608</v>
      </c>
      <c r="C397" s="370"/>
      <c r="D397" s="370"/>
      <c r="E397" s="27">
        <v>-10126.4</v>
      </c>
      <c r="F397" s="27">
        <v>10126.4</v>
      </c>
      <c r="H397" s="27">
        <v>0</v>
      </c>
      <c r="J397" s="27">
        <v>0</v>
      </c>
    </row>
    <row r="398" spans="1:10" ht="15.95" customHeight="1" x14ac:dyDescent="0.2">
      <c r="A398" s="33" t="s">
        <v>1529</v>
      </c>
      <c r="B398" s="369" t="s">
        <v>1530</v>
      </c>
      <c r="C398" s="370"/>
      <c r="D398" s="370"/>
      <c r="E398" s="27">
        <v>0</v>
      </c>
      <c r="F398" s="27">
        <v>14300</v>
      </c>
      <c r="H398" s="27">
        <v>14300</v>
      </c>
      <c r="J398" s="27">
        <v>0</v>
      </c>
    </row>
    <row r="399" spans="1:10" ht="15.95" customHeight="1" x14ac:dyDescent="0.2">
      <c r="A399" s="33" t="s">
        <v>1531</v>
      </c>
      <c r="B399" s="369" t="s">
        <v>1532</v>
      </c>
      <c r="C399" s="370"/>
      <c r="D399" s="370"/>
      <c r="E399" s="27">
        <v>0</v>
      </c>
      <c r="F399" s="27">
        <v>10375</v>
      </c>
      <c r="H399" s="27">
        <v>10582.5</v>
      </c>
      <c r="J399" s="27">
        <v>-207.5</v>
      </c>
    </row>
    <row r="400" spans="1:10" ht="15.95" customHeight="1" x14ac:dyDescent="0.2">
      <c r="A400" s="33" t="s">
        <v>1609</v>
      </c>
      <c r="B400" s="369" t="s">
        <v>1610</v>
      </c>
      <c r="C400" s="370"/>
      <c r="D400" s="370"/>
      <c r="E400" s="27">
        <v>-2190</v>
      </c>
      <c r="F400" s="27">
        <v>2190</v>
      </c>
      <c r="H400" s="27">
        <v>0</v>
      </c>
      <c r="J400" s="27">
        <v>0</v>
      </c>
    </row>
    <row r="401" spans="1:10" ht="15.95" customHeight="1" x14ac:dyDescent="0.2">
      <c r="A401" s="33" t="s">
        <v>1611</v>
      </c>
      <c r="B401" s="369" t="s">
        <v>1612</v>
      </c>
      <c r="C401" s="370"/>
      <c r="D401" s="370"/>
      <c r="E401" s="27">
        <v>0</v>
      </c>
      <c r="F401" s="27">
        <v>36000</v>
      </c>
      <c r="H401" s="27">
        <v>36000</v>
      </c>
      <c r="J401" s="27">
        <v>0</v>
      </c>
    </row>
    <row r="402" spans="1:10" ht="15.95" customHeight="1" x14ac:dyDescent="0.2">
      <c r="A402" s="33" t="s">
        <v>1533</v>
      </c>
      <c r="B402" s="369" t="s">
        <v>1534</v>
      </c>
      <c r="C402" s="370"/>
      <c r="D402" s="370"/>
      <c r="E402" s="27">
        <v>0</v>
      </c>
      <c r="F402" s="27">
        <v>7720</v>
      </c>
      <c r="H402" s="27">
        <v>7720</v>
      </c>
      <c r="J402" s="27">
        <v>0</v>
      </c>
    </row>
    <row r="403" spans="1:10" ht="15.95" customHeight="1" x14ac:dyDescent="0.2">
      <c r="A403" s="33" t="s">
        <v>1535</v>
      </c>
      <c r="B403" s="369" t="s">
        <v>1536</v>
      </c>
      <c r="C403" s="370"/>
      <c r="D403" s="370"/>
      <c r="E403" s="27">
        <v>0</v>
      </c>
      <c r="F403" s="27">
        <v>42423.81</v>
      </c>
      <c r="H403" s="27">
        <v>42423.81</v>
      </c>
      <c r="J403" s="27">
        <v>0</v>
      </c>
    </row>
    <row r="404" spans="1:10" ht="15.95" customHeight="1" x14ac:dyDescent="0.2">
      <c r="A404" s="33" t="s">
        <v>1537</v>
      </c>
      <c r="B404" s="369" t="s">
        <v>1538</v>
      </c>
      <c r="C404" s="370"/>
      <c r="D404" s="370"/>
      <c r="E404" s="27">
        <v>0</v>
      </c>
      <c r="F404" s="27">
        <v>70430.05</v>
      </c>
      <c r="H404" s="27">
        <v>70430.05</v>
      </c>
      <c r="J404" s="27">
        <v>0</v>
      </c>
    </row>
    <row r="405" spans="1:10" ht="15.95" customHeight="1" x14ac:dyDescent="0.2">
      <c r="A405" s="33" t="s">
        <v>1539</v>
      </c>
      <c r="B405" s="369" t="s">
        <v>1540</v>
      </c>
      <c r="C405" s="370"/>
      <c r="D405" s="370"/>
      <c r="E405" s="27">
        <v>0</v>
      </c>
      <c r="F405" s="27">
        <v>400</v>
      </c>
      <c r="H405" s="27">
        <v>400</v>
      </c>
      <c r="J405" s="27">
        <v>0</v>
      </c>
    </row>
    <row r="406" spans="1:10" ht="15.95" customHeight="1" x14ac:dyDescent="0.2">
      <c r="A406" s="33" t="s">
        <v>1541</v>
      </c>
      <c r="B406" s="369" t="s">
        <v>1542</v>
      </c>
      <c r="C406" s="370"/>
      <c r="D406" s="370"/>
      <c r="E406" s="27">
        <v>0</v>
      </c>
      <c r="F406" s="27">
        <v>4200</v>
      </c>
      <c r="H406" s="27">
        <v>4200</v>
      </c>
      <c r="J406" s="27">
        <v>0</v>
      </c>
    </row>
    <row r="407" spans="1:10" ht="15.95" customHeight="1" x14ac:dyDescent="0.2">
      <c r="A407" s="33">
        <v>213</v>
      </c>
      <c r="B407" s="369" t="s">
        <v>615</v>
      </c>
      <c r="C407" s="370"/>
      <c r="D407" s="370"/>
      <c r="E407" s="27">
        <v>-1982157.36</v>
      </c>
      <c r="F407" s="27">
        <v>8489319.2100000009</v>
      </c>
      <c r="H407" s="27">
        <v>9230185.8599999994</v>
      </c>
      <c r="J407" s="27">
        <v>-2723024.01</v>
      </c>
    </row>
    <row r="408" spans="1:10" ht="15.95" customHeight="1" x14ac:dyDescent="0.2">
      <c r="A408" s="33">
        <v>21301</v>
      </c>
      <c r="B408" s="369" t="s">
        <v>615</v>
      </c>
      <c r="C408" s="370"/>
      <c r="D408" s="370"/>
      <c r="E408" s="27">
        <v>-1982157.36</v>
      </c>
      <c r="F408" s="27">
        <v>8489319.2100000009</v>
      </c>
      <c r="H408" s="27">
        <v>9230185.8599999994</v>
      </c>
      <c r="J408" s="27">
        <v>-2723024.01</v>
      </c>
    </row>
    <row r="409" spans="1:10" ht="15.95" customHeight="1" x14ac:dyDescent="0.2">
      <c r="A409" s="33">
        <v>2130101</v>
      </c>
      <c r="B409" s="369" t="s">
        <v>615</v>
      </c>
      <c r="C409" s="370"/>
      <c r="D409" s="370"/>
      <c r="E409" s="27">
        <v>-1982157.36</v>
      </c>
      <c r="F409" s="27">
        <v>8489319.2100000009</v>
      </c>
      <c r="H409" s="27">
        <v>9230185.8599999994</v>
      </c>
      <c r="J409" s="27">
        <v>-2723024.01</v>
      </c>
    </row>
    <row r="410" spans="1:10" ht="15.95" customHeight="1" x14ac:dyDescent="0.2">
      <c r="A410" s="33" t="s">
        <v>616</v>
      </c>
      <c r="B410" s="369" t="s">
        <v>617</v>
      </c>
      <c r="C410" s="370"/>
      <c r="D410" s="370"/>
      <c r="E410" s="27">
        <v>0</v>
      </c>
      <c r="F410" s="27">
        <v>6930044.4100000001</v>
      </c>
      <c r="H410" s="27">
        <v>7582835.7699999996</v>
      </c>
      <c r="J410" s="27">
        <v>-652791.36</v>
      </c>
    </row>
    <row r="411" spans="1:10" ht="15.95" customHeight="1" x14ac:dyDescent="0.2">
      <c r="A411" s="33" t="s">
        <v>618</v>
      </c>
      <c r="B411" s="369" t="s">
        <v>619</v>
      </c>
      <c r="C411" s="370"/>
      <c r="D411" s="370"/>
      <c r="E411" s="27">
        <v>0</v>
      </c>
      <c r="F411" s="27">
        <v>1237686.8700000001</v>
      </c>
      <c r="H411" s="27">
        <v>1237686.8700000001</v>
      </c>
      <c r="J411" s="27">
        <v>0</v>
      </c>
    </row>
    <row r="412" spans="1:10" ht="15.95" customHeight="1" x14ac:dyDescent="0.2">
      <c r="A412" s="33" t="s">
        <v>620</v>
      </c>
      <c r="B412" s="369" t="s">
        <v>621</v>
      </c>
      <c r="C412" s="370"/>
      <c r="D412" s="370"/>
      <c r="E412" s="27">
        <v>0</v>
      </c>
      <c r="F412" s="27">
        <v>186540.26</v>
      </c>
      <c r="H412" s="27">
        <v>274765.74</v>
      </c>
      <c r="J412" s="27">
        <v>-88225.48</v>
      </c>
    </row>
    <row r="413" spans="1:10" ht="15.95" customHeight="1" x14ac:dyDescent="0.2">
      <c r="A413" s="33" t="s">
        <v>622</v>
      </c>
      <c r="B413" s="369" t="s">
        <v>623</v>
      </c>
      <c r="C413" s="370"/>
      <c r="D413" s="370"/>
      <c r="E413" s="27">
        <v>-1982157.36</v>
      </c>
      <c r="F413" s="27">
        <v>135047.67000000001</v>
      </c>
      <c r="H413" s="27">
        <v>134897.48000000001</v>
      </c>
      <c r="J413" s="27">
        <v>-1982007.17</v>
      </c>
    </row>
    <row r="414" spans="1:10" ht="15.95" customHeight="1" x14ac:dyDescent="0.2">
      <c r="A414" s="33">
        <v>214</v>
      </c>
      <c r="B414" s="369" t="s">
        <v>628</v>
      </c>
      <c r="C414" s="370"/>
      <c r="D414" s="370"/>
      <c r="E414" s="27">
        <v>-2360319.29</v>
      </c>
      <c r="F414" s="27">
        <v>8891736.5800000001</v>
      </c>
      <c r="H414" s="27">
        <v>8613240.0399999991</v>
      </c>
      <c r="J414" s="27">
        <v>-2081822.75</v>
      </c>
    </row>
    <row r="415" spans="1:10" ht="15.95" customHeight="1" x14ac:dyDescent="0.2">
      <c r="A415" s="33">
        <v>21401</v>
      </c>
      <c r="B415" s="369" t="s">
        <v>628</v>
      </c>
      <c r="C415" s="370"/>
      <c r="D415" s="370"/>
      <c r="E415" s="27">
        <v>-2360319.29</v>
      </c>
      <c r="F415" s="27">
        <v>8891736.5800000001</v>
      </c>
      <c r="H415" s="27">
        <v>8613240.0399999991</v>
      </c>
      <c r="J415" s="27">
        <v>-2081822.75</v>
      </c>
    </row>
    <row r="416" spans="1:10" ht="15.95" customHeight="1" x14ac:dyDescent="0.2">
      <c r="A416" s="33">
        <v>2140101</v>
      </c>
      <c r="B416" s="369" t="s">
        <v>628</v>
      </c>
      <c r="C416" s="370"/>
      <c r="D416" s="370"/>
      <c r="E416" s="27">
        <v>-2360319.29</v>
      </c>
      <c r="F416" s="27">
        <v>8891736.5800000001</v>
      </c>
      <c r="H416" s="27">
        <v>8613240.0399999991</v>
      </c>
      <c r="J416" s="27">
        <v>-2081822.75</v>
      </c>
    </row>
    <row r="417" spans="1:10" ht="15.95" customHeight="1" x14ac:dyDescent="0.2">
      <c r="A417" s="33" t="s">
        <v>629</v>
      </c>
      <c r="B417" s="369" t="s">
        <v>630</v>
      </c>
      <c r="C417" s="370"/>
      <c r="D417" s="370"/>
      <c r="E417" s="27">
        <v>-446315.55</v>
      </c>
      <c r="F417" s="27">
        <v>2609798.27</v>
      </c>
      <c r="H417" s="27">
        <v>2588833.52</v>
      </c>
      <c r="J417" s="27">
        <v>-425350.8</v>
      </c>
    </row>
    <row r="418" spans="1:10" ht="15.95" customHeight="1" x14ac:dyDescent="0.2">
      <c r="A418" s="33" t="s">
        <v>631</v>
      </c>
      <c r="B418" s="369" t="s">
        <v>632</v>
      </c>
      <c r="C418" s="370"/>
      <c r="D418" s="370"/>
      <c r="E418" s="27">
        <v>-166754.6</v>
      </c>
      <c r="F418" s="27">
        <v>729168.68</v>
      </c>
      <c r="H418" s="27">
        <v>662459.6</v>
      </c>
      <c r="J418" s="27">
        <v>-100045.52</v>
      </c>
    </row>
    <row r="419" spans="1:10" ht="27.95" customHeight="1" x14ac:dyDescent="0.2">
      <c r="A419" s="33" t="s">
        <v>633</v>
      </c>
      <c r="B419" s="369" t="s">
        <v>634</v>
      </c>
      <c r="C419" s="370"/>
      <c r="D419" s="370"/>
      <c r="E419" s="27">
        <v>-629815.68000000005</v>
      </c>
      <c r="F419" s="27">
        <v>314907.84000000003</v>
      </c>
      <c r="H419" s="27">
        <v>314907.84000000003</v>
      </c>
      <c r="J419" s="27">
        <v>-629815.68000000005</v>
      </c>
    </row>
    <row r="420" spans="1:10" ht="15.95" customHeight="1" x14ac:dyDescent="0.2">
      <c r="A420" s="401" t="s">
        <v>1441</v>
      </c>
      <c r="B420" s="370"/>
      <c r="C420" s="370"/>
      <c r="D420" s="102" t="s">
        <v>1744</v>
      </c>
      <c r="J420" s="103" t="s">
        <v>1745</v>
      </c>
    </row>
    <row r="421" spans="1:10" ht="20.100000000000001" customHeight="1" x14ac:dyDescent="0.2">
      <c r="A421" s="99" t="s">
        <v>1424</v>
      </c>
      <c r="J421" s="100" t="s">
        <v>1752</v>
      </c>
    </row>
    <row r="422" spans="1:10" ht="15.95" customHeight="1" x14ac:dyDescent="0.2">
      <c r="A422" s="33" t="s">
        <v>1739</v>
      </c>
      <c r="C422" s="33" t="s">
        <v>0</v>
      </c>
      <c r="J422" s="27" t="s">
        <v>1740</v>
      </c>
    </row>
    <row r="423" spans="1:10" ht="14.1" customHeight="1" x14ac:dyDescent="0.2">
      <c r="A423" s="101" t="s">
        <v>1741</v>
      </c>
      <c r="J423" s="27" t="s">
        <v>1742</v>
      </c>
    </row>
    <row r="424" spans="1:10" ht="15" customHeight="1" x14ac:dyDescent="0.2">
      <c r="A424" s="101" t="s">
        <v>1743</v>
      </c>
    </row>
    <row r="425" spans="1:10" ht="23.1" customHeight="1" x14ac:dyDescent="0.2">
      <c r="A425" s="23" t="s">
        <v>55</v>
      </c>
      <c r="B425" s="23" t="s">
        <v>56</v>
      </c>
      <c r="E425" s="24" t="s">
        <v>57</v>
      </c>
      <c r="F425" s="24" t="s">
        <v>58</v>
      </c>
      <c r="H425" s="24" t="s">
        <v>59</v>
      </c>
      <c r="J425" s="24" t="s">
        <v>60</v>
      </c>
    </row>
    <row r="426" spans="1:10" ht="15.95" customHeight="1" x14ac:dyDescent="0.2">
      <c r="A426" s="33" t="s">
        <v>635</v>
      </c>
      <c r="B426" s="369" t="s">
        <v>636</v>
      </c>
      <c r="C426" s="370"/>
      <c r="D426" s="370"/>
      <c r="E426" s="27">
        <v>-253295.68</v>
      </c>
      <c r="F426" s="27">
        <v>2084312.07</v>
      </c>
      <c r="H426" s="27">
        <v>2132354.7000000002</v>
      </c>
      <c r="J426" s="27">
        <v>-301338.31</v>
      </c>
    </row>
    <row r="427" spans="1:10" ht="15.95" customHeight="1" x14ac:dyDescent="0.2">
      <c r="A427" s="33" t="s">
        <v>637</v>
      </c>
      <c r="B427" s="369" t="s">
        <v>638</v>
      </c>
      <c r="C427" s="370"/>
      <c r="D427" s="370"/>
      <c r="E427" s="27">
        <v>-54889.86</v>
      </c>
      <c r="F427" s="27">
        <v>452049.83</v>
      </c>
      <c r="H427" s="27">
        <v>462347.81</v>
      </c>
      <c r="J427" s="27">
        <v>-65187.839999999997</v>
      </c>
    </row>
    <row r="428" spans="1:10" ht="15.95" customHeight="1" x14ac:dyDescent="0.2">
      <c r="A428" s="33" t="s">
        <v>639</v>
      </c>
      <c r="B428" s="369" t="s">
        <v>640</v>
      </c>
      <c r="C428" s="370"/>
      <c r="D428" s="370"/>
      <c r="E428" s="27">
        <v>1177.45</v>
      </c>
      <c r="F428" s="27">
        <v>99263.72</v>
      </c>
      <c r="H428" s="27">
        <v>100703.28</v>
      </c>
      <c r="J428" s="27">
        <v>-262.11</v>
      </c>
    </row>
    <row r="429" spans="1:10" ht="15.95" customHeight="1" x14ac:dyDescent="0.2">
      <c r="A429" s="33" t="s">
        <v>641</v>
      </c>
      <c r="B429" s="369" t="s">
        <v>642</v>
      </c>
      <c r="C429" s="370"/>
      <c r="D429" s="370"/>
      <c r="E429" s="27">
        <v>-110437.46</v>
      </c>
      <c r="F429" s="27">
        <v>672605.93</v>
      </c>
      <c r="H429" s="27">
        <v>639411.01</v>
      </c>
      <c r="J429" s="27">
        <v>-77242.539999999994</v>
      </c>
    </row>
    <row r="430" spans="1:10" ht="15.95" customHeight="1" x14ac:dyDescent="0.2">
      <c r="A430" s="33" t="s">
        <v>643</v>
      </c>
      <c r="B430" s="369" t="s">
        <v>644</v>
      </c>
      <c r="C430" s="370"/>
      <c r="D430" s="370"/>
      <c r="E430" s="27">
        <v>-43769.34</v>
      </c>
      <c r="F430" s="27">
        <v>247693.4</v>
      </c>
      <c r="H430" s="27">
        <v>236436.95</v>
      </c>
      <c r="J430" s="27">
        <v>-32512.89</v>
      </c>
    </row>
    <row r="431" spans="1:10" ht="15.95" customHeight="1" x14ac:dyDescent="0.2">
      <c r="A431" s="33" t="s">
        <v>645</v>
      </c>
      <c r="B431" s="369" t="s">
        <v>646</v>
      </c>
      <c r="C431" s="370"/>
      <c r="D431" s="370"/>
      <c r="E431" s="27">
        <v>-418461.37</v>
      </c>
      <c r="F431" s="27">
        <v>1055383.1399999999</v>
      </c>
      <c r="H431" s="27">
        <v>856324.87</v>
      </c>
      <c r="J431" s="27">
        <v>-219403.1</v>
      </c>
    </row>
    <row r="432" spans="1:10" ht="15.95" customHeight="1" x14ac:dyDescent="0.2">
      <c r="A432" s="33" t="s">
        <v>647</v>
      </c>
      <c r="B432" s="369" t="s">
        <v>648</v>
      </c>
      <c r="C432" s="370"/>
      <c r="D432" s="370"/>
      <c r="E432" s="27">
        <v>-98361.91</v>
      </c>
      <c r="F432" s="27">
        <v>598591.36</v>
      </c>
      <c r="H432" s="27">
        <v>591498.12</v>
      </c>
      <c r="J432" s="27">
        <v>-91268.67</v>
      </c>
    </row>
    <row r="433" spans="1:10" ht="15.95" customHeight="1" x14ac:dyDescent="0.2">
      <c r="A433" s="33" t="s">
        <v>649</v>
      </c>
      <c r="B433" s="369" t="s">
        <v>650</v>
      </c>
      <c r="C433" s="370"/>
      <c r="D433" s="370"/>
      <c r="E433" s="27">
        <v>-83470.55</v>
      </c>
      <c r="F433" s="27">
        <v>0</v>
      </c>
      <c r="H433" s="27">
        <v>0</v>
      </c>
      <c r="J433" s="27">
        <v>-83470.55</v>
      </c>
    </row>
    <row r="434" spans="1:10" ht="15.95" customHeight="1" x14ac:dyDescent="0.2">
      <c r="A434" s="33" t="s">
        <v>651</v>
      </c>
      <c r="B434" s="369" t="s">
        <v>652</v>
      </c>
      <c r="C434" s="370"/>
      <c r="D434" s="370"/>
      <c r="E434" s="27">
        <v>-55924.74</v>
      </c>
      <c r="F434" s="27">
        <v>27962.34</v>
      </c>
      <c r="H434" s="27">
        <v>27962.34</v>
      </c>
      <c r="J434" s="27">
        <v>-55924.74</v>
      </c>
    </row>
    <row r="435" spans="1:10" ht="15.95" customHeight="1" x14ac:dyDescent="0.2">
      <c r="A435" s="33">
        <v>215</v>
      </c>
      <c r="B435" s="369" t="s">
        <v>655</v>
      </c>
      <c r="C435" s="370"/>
      <c r="D435" s="370"/>
      <c r="E435" s="27">
        <v>-506906.06</v>
      </c>
      <c r="F435" s="27">
        <v>1951308.79</v>
      </c>
      <c r="H435" s="27">
        <v>1758137.6</v>
      </c>
      <c r="J435" s="27">
        <v>-313734.87</v>
      </c>
    </row>
    <row r="436" spans="1:10" ht="15.95" customHeight="1" x14ac:dyDescent="0.2">
      <c r="A436" s="33">
        <v>21501</v>
      </c>
      <c r="B436" s="369" t="s">
        <v>655</v>
      </c>
      <c r="C436" s="370"/>
      <c r="D436" s="370"/>
      <c r="E436" s="27">
        <v>-506906.06</v>
      </c>
      <c r="F436" s="27">
        <v>1951308.79</v>
      </c>
      <c r="H436" s="27">
        <v>1758137.6</v>
      </c>
      <c r="J436" s="27">
        <v>-313734.87</v>
      </c>
    </row>
    <row r="437" spans="1:10" ht="15.95" customHeight="1" x14ac:dyDescent="0.2">
      <c r="A437" s="33">
        <v>2150101</v>
      </c>
      <c r="B437" s="369" t="s">
        <v>656</v>
      </c>
      <c r="C437" s="370"/>
      <c r="D437" s="370"/>
      <c r="E437" s="27">
        <v>-462174.06</v>
      </c>
      <c r="F437" s="27">
        <v>1670871.74</v>
      </c>
      <c r="H437" s="27">
        <v>1473371.98</v>
      </c>
      <c r="J437" s="27">
        <v>-264674.3</v>
      </c>
    </row>
    <row r="438" spans="1:10" ht="15.95" customHeight="1" x14ac:dyDescent="0.2">
      <c r="A438" s="33" t="s">
        <v>657</v>
      </c>
      <c r="B438" s="369" t="s">
        <v>658</v>
      </c>
      <c r="C438" s="370"/>
      <c r="D438" s="370"/>
      <c r="E438" s="27">
        <v>0</v>
      </c>
      <c r="F438" s="27">
        <v>600</v>
      </c>
      <c r="H438" s="27">
        <v>720</v>
      </c>
      <c r="J438" s="27">
        <v>-120</v>
      </c>
    </row>
    <row r="439" spans="1:10" ht="15.95" customHeight="1" x14ac:dyDescent="0.2">
      <c r="A439" s="33" t="s">
        <v>659</v>
      </c>
      <c r="B439" s="369" t="s">
        <v>660</v>
      </c>
      <c r="C439" s="370"/>
      <c r="D439" s="370"/>
      <c r="E439" s="27">
        <v>-453702.96</v>
      </c>
      <c r="F439" s="27">
        <v>1451189.35</v>
      </c>
      <c r="H439" s="27">
        <v>1217968.48</v>
      </c>
      <c r="J439" s="27">
        <v>-220482.09</v>
      </c>
    </row>
    <row r="440" spans="1:10" ht="15.95" customHeight="1" x14ac:dyDescent="0.2">
      <c r="A440" s="33" t="s">
        <v>661</v>
      </c>
      <c r="B440" s="369" t="s">
        <v>662</v>
      </c>
      <c r="C440" s="370"/>
      <c r="D440" s="370"/>
      <c r="E440" s="27">
        <v>-3875.02</v>
      </c>
      <c r="F440" s="27">
        <v>10965.42</v>
      </c>
      <c r="H440" s="27">
        <v>9959.51</v>
      </c>
      <c r="J440" s="27">
        <v>-2869.11</v>
      </c>
    </row>
    <row r="441" spans="1:10" ht="15.95" customHeight="1" x14ac:dyDescent="0.2">
      <c r="A441" s="33" t="s">
        <v>663</v>
      </c>
      <c r="B441" s="369" t="s">
        <v>664</v>
      </c>
      <c r="C441" s="370"/>
      <c r="D441" s="370"/>
      <c r="E441" s="27">
        <v>0</v>
      </c>
      <c r="F441" s="27">
        <v>2640.47</v>
      </c>
      <c r="H441" s="27">
        <v>3178.05</v>
      </c>
      <c r="J441" s="27">
        <v>-537.58000000000004</v>
      </c>
    </row>
    <row r="442" spans="1:10" ht="15.95" customHeight="1" x14ac:dyDescent="0.2">
      <c r="A442" s="33" t="s">
        <v>665</v>
      </c>
      <c r="B442" s="369" t="s">
        <v>666</v>
      </c>
      <c r="C442" s="370"/>
      <c r="D442" s="370"/>
      <c r="E442" s="27">
        <v>0</v>
      </c>
      <c r="F442" s="27">
        <v>2389.5</v>
      </c>
      <c r="H442" s="27">
        <v>2871.32</v>
      </c>
      <c r="J442" s="27">
        <v>-481.82</v>
      </c>
    </row>
    <row r="443" spans="1:10" ht="15.95" customHeight="1" x14ac:dyDescent="0.2">
      <c r="A443" s="33" t="s">
        <v>667</v>
      </c>
      <c r="B443" s="369" t="s">
        <v>668</v>
      </c>
      <c r="C443" s="370"/>
      <c r="D443" s="370"/>
      <c r="E443" s="27">
        <v>-2448.29</v>
      </c>
      <c r="F443" s="27">
        <v>9793.16</v>
      </c>
      <c r="H443" s="27">
        <v>7344.87</v>
      </c>
      <c r="J443" s="27">
        <v>0</v>
      </c>
    </row>
    <row r="444" spans="1:10" ht="15.95" customHeight="1" x14ac:dyDescent="0.2">
      <c r="A444" s="33" t="s">
        <v>669</v>
      </c>
      <c r="B444" s="369" t="s">
        <v>670</v>
      </c>
      <c r="C444" s="370"/>
      <c r="D444" s="370"/>
      <c r="E444" s="27">
        <v>-275.76</v>
      </c>
      <c r="F444" s="27">
        <v>155838.65</v>
      </c>
      <c r="H444" s="27">
        <v>179585.53</v>
      </c>
      <c r="J444" s="27">
        <v>-24022.639999999999</v>
      </c>
    </row>
    <row r="445" spans="1:10" ht="15.95" customHeight="1" x14ac:dyDescent="0.2">
      <c r="A445" s="33" t="s">
        <v>671</v>
      </c>
      <c r="B445" s="369" t="s">
        <v>672</v>
      </c>
      <c r="C445" s="370"/>
      <c r="D445" s="370"/>
      <c r="E445" s="27">
        <v>0</v>
      </c>
      <c r="F445" s="27">
        <v>27574.36</v>
      </c>
      <c r="H445" s="27">
        <v>42407.78</v>
      </c>
      <c r="J445" s="27">
        <v>-14833.42</v>
      </c>
    </row>
    <row r="446" spans="1:10" ht="15.95" customHeight="1" x14ac:dyDescent="0.2">
      <c r="A446" s="33" t="s">
        <v>673</v>
      </c>
      <c r="B446" s="369" t="s">
        <v>674</v>
      </c>
      <c r="C446" s="370"/>
      <c r="D446" s="370"/>
      <c r="E446" s="27">
        <v>-600</v>
      </c>
      <c r="F446" s="27">
        <v>1200</v>
      </c>
      <c r="H446" s="27">
        <v>1400</v>
      </c>
      <c r="J446" s="27">
        <v>-800</v>
      </c>
    </row>
    <row r="447" spans="1:10" ht="15.95" customHeight="1" x14ac:dyDescent="0.2">
      <c r="A447" s="33" t="s">
        <v>675</v>
      </c>
      <c r="B447" s="369" t="s">
        <v>676</v>
      </c>
      <c r="C447" s="370"/>
      <c r="D447" s="370"/>
      <c r="E447" s="27">
        <v>-47.2</v>
      </c>
      <c r="F447" s="27">
        <v>236</v>
      </c>
      <c r="H447" s="27">
        <v>283.2</v>
      </c>
      <c r="J447" s="27">
        <v>-94.4</v>
      </c>
    </row>
    <row r="448" spans="1:10" ht="15.95" customHeight="1" x14ac:dyDescent="0.2">
      <c r="A448" s="33" t="s">
        <v>677</v>
      </c>
      <c r="B448" s="369" t="s">
        <v>678</v>
      </c>
      <c r="C448" s="370"/>
      <c r="D448" s="370"/>
      <c r="E448" s="27">
        <v>-1224.83</v>
      </c>
      <c r="F448" s="27">
        <v>8444.83</v>
      </c>
      <c r="H448" s="27">
        <v>7653.24</v>
      </c>
      <c r="J448" s="27">
        <v>-433.24</v>
      </c>
    </row>
    <row r="449" spans="1:10" ht="15.95" customHeight="1" x14ac:dyDescent="0.2">
      <c r="A449" s="33">
        <v>2150102</v>
      </c>
      <c r="B449" s="369" t="s">
        <v>679</v>
      </c>
      <c r="C449" s="370"/>
      <c r="D449" s="370"/>
      <c r="E449" s="27">
        <v>-44732</v>
      </c>
      <c r="F449" s="27">
        <v>280437.05</v>
      </c>
      <c r="H449" s="27">
        <v>284765.62</v>
      </c>
      <c r="J449" s="27">
        <v>-49060.57</v>
      </c>
    </row>
    <row r="450" spans="1:10" ht="15.95" customHeight="1" x14ac:dyDescent="0.2">
      <c r="A450" s="33" t="s">
        <v>680</v>
      </c>
      <c r="B450" s="369" t="s">
        <v>681</v>
      </c>
      <c r="C450" s="370"/>
      <c r="D450" s="370"/>
      <c r="E450" s="27">
        <v>-35831</v>
      </c>
      <c r="F450" s="27">
        <v>202049.35</v>
      </c>
      <c r="H450" s="27">
        <v>200142.6</v>
      </c>
      <c r="J450" s="27">
        <v>-33924.25</v>
      </c>
    </row>
    <row r="451" spans="1:10" ht="15.95" customHeight="1" x14ac:dyDescent="0.2">
      <c r="A451" s="33" t="s">
        <v>682</v>
      </c>
      <c r="B451" s="369" t="s">
        <v>683</v>
      </c>
      <c r="C451" s="370"/>
      <c r="D451" s="370"/>
      <c r="E451" s="27">
        <v>-8901</v>
      </c>
      <c r="F451" s="27">
        <v>57268</v>
      </c>
      <c r="H451" s="27">
        <v>60180.08</v>
      </c>
      <c r="J451" s="27">
        <v>-11813.08</v>
      </c>
    </row>
    <row r="452" spans="1:10" ht="15.95" customHeight="1" x14ac:dyDescent="0.2">
      <c r="A452" s="33" t="s">
        <v>684</v>
      </c>
      <c r="B452" s="369" t="s">
        <v>685</v>
      </c>
      <c r="C452" s="370"/>
      <c r="D452" s="370"/>
      <c r="E452" s="27">
        <v>0</v>
      </c>
      <c r="F452" s="27">
        <v>21119.7</v>
      </c>
      <c r="H452" s="27">
        <v>24442.94</v>
      </c>
      <c r="J452" s="27">
        <v>-3323.24</v>
      </c>
    </row>
    <row r="453" spans="1:10" ht="15.95" customHeight="1" x14ac:dyDescent="0.2">
      <c r="A453" s="33">
        <v>217</v>
      </c>
      <c r="B453" s="369" t="s">
        <v>686</v>
      </c>
      <c r="C453" s="370"/>
      <c r="D453" s="370"/>
      <c r="E453" s="27">
        <v>-4679363.9000000004</v>
      </c>
      <c r="F453" s="27">
        <v>1226222.55</v>
      </c>
      <c r="H453" s="27">
        <v>394765.86</v>
      </c>
      <c r="J453" s="27">
        <v>-3847907.21</v>
      </c>
    </row>
    <row r="454" spans="1:10" ht="15.95" customHeight="1" x14ac:dyDescent="0.2">
      <c r="A454" s="33">
        <v>21701</v>
      </c>
      <c r="B454" s="369" t="s">
        <v>686</v>
      </c>
      <c r="C454" s="370"/>
      <c r="D454" s="370"/>
      <c r="E454" s="27">
        <v>-4679363.9000000004</v>
      </c>
      <c r="F454" s="27">
        <v>1226222.55</v>
      </c>
      <c r="H454" s="27">
        <v>394765.86</v>
      </c>
      <c r="J454" s="27">
        <v>-3847907.21</v>
      </c>
    </row>
    <row r="455" spans="1:10" ht="15.95" customHeight="1" x14ac:dyDescent="0.2">
      <c r="A455" s="33">
        <v>2170101</v>
      </c>
      <c r="B455" s="369" t="s">
        <v>687</v>
      </c>
      <c r="C455" s="370"/>
      <c r="D455" s="370"/>
      <c r="E455" s="27">
        <v>-23810.44</v>
      </c>
      <c r="F455" s="27">
        <v>16062</v>
      </c>
      <c r="H455" s="27">
        <v>16062</v>
      </c>
      <c r="J455" s="27">
        <v>-23810.44</v>
      </c>
    </row>
    <row r="456" spans="1:10" ht="15.95" customHeight="1" x14ac:dyDescent="0.2">
      <c r="A456" s="33" t="s">
        <v>688</v>
      </c>
      <c r="B456" s="369" t="s">
        <v>689</v>
      </c>
      <c r="C456" s="370"/>
      <c r="D456" s="370"/>
      <c r="E456" s="27">
        <v>-6700</v>
      </c>
      <c r="F456" s="27">
        <v>0</v>
      </c>
      <c r="H456" s="27">
        <v>0</v>
      </c>
      <c r="J456" s="27">
        <v>-6700</v>
      </c>
    </row>
    <row r="457" spans="1:10" ht="15.95" customHeight="1" x14ac:dyDescent="0.2">
      <c r="A457" s="33" t="s">
        <v>690</v>
      </c>
      <c r="B457" s="369" t="s">
        <v>691</v>
      </c>
      <c r="C457" s="370"/>
      <c r="D457" s="370"/>
      <c r="E457" s="27">
        <v>-3115</v>
      </c>
      <c r="F457" s="27">
        <v>0</v>
      </c>
      <c r="H457" s="27">
        <v>0</v>
      </c>
      <c r="J457" s="27">
        <v>-3115</v>
      </c>
    </row>
    <row r="458" spans="1:10" ht="15.95" customHeight="1" x14ac:dyDescent="0.2">
      <c r="A458" s="33" t="s">
        <v>692</v>
      </c>
      <c r="B458" s="369" t="s">
        <v>693</v>
      </c>
      <c r="C458" s="370"/>
      <c r="D458" s="370"/>
      <c r="E458" s="27">
        <v>-2856</v>
      </c>
      <c r="F458" s="27">
        <v>0</v>
      </c>
      <c r="H458" s="27">
        <v>0</v>
      </c>
      <c r="J458" s="27">
        <v>-2856</v>
      </c>
    </row>
    <row r="459" spans="1:10" ht="15.95" customHeight="1" x14ac:dyDescent="0.2">
      <c r="A459" s="33" t="s">
        <v>694</v>
      </c>
      <c r="B459" s="369" t="s">
        <v>695</v>
      </c>
      <c r="C459" s="370"/>
      <c r="D459" s="370"/>
      <c r="E459" s="27">
        <v>-2000</v>
      </c>
      <c r="F459" s="27">
        <v>0</v>
      </c>
      <c r="H459" s="27">
        <v>0</v>
      </c>
      <c r="J459" s="27">
        <v>-2000</v>
      </c>
    </row>
    <row r="460" spans="1:10" ht="15.95" customHeight="1" x14ac:dyDescent="0.2">
      <c r="A460" s="33" t="s">
        <v>696</v>
      </c>
      <c r="B460" s="369" t="s">
        <v>697</v>
      </c>
      <c r="C460" s="370"/>
      <c r="D460" s="370"/>
      <c r="E460" s="27">
        <v>-5899.2</v>
      </c>
      <c r="F460" s="27">
        <v>0</v>
      </c>
      <c r="H460" s="27">
        <v>0</v>
      </c>
      <c r="J460" s="27">
        <v>-5899.2</v>
      </c>
    </row>
    <row r="461" spans="1:10" ht="15.95" customHeight="1" x14ac:dyDescent="0.2">
      <c r="A461" s="33" t="s">
        <v>698</v>
      </c>
      <c r="B461" s="369" t="s">
        <v>699</v>
      </c>
      <c r="C461" s="370"/>
      <c r="D461" s="370"/>
      <c r="E461" s="27">
        <v>-840.24</v>
      </c>
      <c r="F461" s="27">
        <v>0</v>
      </c>
      <c r="H461" s="27">
        <v>0</v>
      </c>
      <c r="J461" s="27">
        <v>-840.24</v>
      </c>
    </row>
    <row r="462" spans="1:10" ht="15.95" customHeight="1" x14ac:dyDescent="0.2">
      <c r="A462" s="33" t="s">
        <v>700</v>
      </c>
      <c r="B462" s="369" t="s">
        <v>701</v>
      </c>
      <c r="C462" s="370"/>
      <c r="D462" s="370"/>
      <c r="E462" s="27">
        <v>-2400</v>
      </c>
      <c r="F462" s="27">
        <v>16062</v>
      </c>
      <c r="H462" s="27">
        <v>16062</v>
      </c>
      <c r="J462" s="27">
        <v>-2400</v>
      </c>
    </row>
    <row r="463" spans="1:10" ht="15.95" customHeight="1" x14ac:dyDescent="0.2">
      <c r="A463" s="33">
        <v>2170102</v>
      </c>
      <c r="B463" s="369" t="s">
        <v>710</v>
      </c>
      <c r="C463" s="370"/>
      <c r="D463" s="370"/>
      <c r="E463" s="27">
        <v>-1870407.09</v>
      </c>
      <c r="F463" s="27">
        <v>1203001.43</v>
      </c>
      <c r="H463" s="27">
        <v>369751.19</v>
      </c>
      <c r="J463" s="27">
        <v>-1037156.85</v>
      </c>
    </row>
    <row r="464" spans="1:10" ht="15.95" customHeight="1" x14ac:dyDescent="0.2">
      <c r="A464" s="33" t="s">
        <v>711</v>
      </c>
      <c r="B464" s="369" t="s">
        <v>712</v>
      </c>
      <c r="C464" s="370"/>
      <c r="D464" s="370"/>
      <c r="E464" s="27">
        <v>-482690.42</v>
      </c>
      <c r="F464" s="27">
        <v>0</v>
      </c>
      <c r="H464" s="27">
        <v>0</v>
      </c>
      <c r="J464" s="27">
        <v>-482690.42</v>
      </c>
    </row>
    <row r="465" spans="1:10" ht="15.95" customHeight="1" x14ac:dyDescent="0.2">
      <c r="A465" s="33" t="s">
        <v>713</v>
      </c>
      <c r="B465" s="369" t="s">
        <v>714</v>
      </c>
      <c r="C465" s="370"/>
      <c r="D465" s="370"/>
      <c r="E465" s="27">
        <v>-34.72</v>
      </c>
      <c r="F465" s="27">
        <v>0</v>
      </c>
      <c r="H465" s="27">
        <v>0</v>
      </c>
      <c r="J465" s="27">
        <v>-34.72</v>
      </c>
    </row>
    <row r="466" spans="1:10" ht="15.95" customHeight="1" x14ac:dyDescent="0.2">
      <c r="A466" s="33" t="s">
        <v>715</v>
      </c>
      <c r="B466" s="369" t="s">
        <v>716</v>
      </c>
      <c r="C466" s="370"/>
      <c r="D466" s="370"/>
      <c r="E466" s="27">
        <v>-1469</v>
      </c>
      <c r="F466" s="27">
        <v>0</v>
      </c>
      <c r="H466" s="27">
        <v>10249.89</v>
      </c>
      <c r="J466" s="27">
        <v>-11718.89</v>
      </c>
    </row>
    <row r="467" spans="1:10" ht="15.95" customHeight="1" x14ac:dyDescent="0.2">
      <c r="A467" s="33" t="s">
        <v>717</v>
      </c>
      <c r="B467" s="369" t="s">
        <v>718</v>
      </c>
      <c r="C467" s="370"/>
      <c r="D467" s="370"/>
      <c r="E467" s="27">
        <v>-229.87</v>
      </c>
      <c r="F467" s="27">
        <v>0</v>
      </c>
      <c r="H467" s="27">
        <v>0</v>
      </c>
      <c r="J467" s="27">
        <v>-229.87</v>
      </c>
    </row>
    <row r="468" spans="1:10" ht="15.95" customHeight="1" x14ac:dyDescent="0.2">
      <c r="A468" s="33" t="s">
        <v>719</v>
      </c>
      <c r="B468" s="369" t="s">
        <v>720</v>
      </c>
      <c r="C468" s="370"/>
      <c r="D468" s="370"/>
      <c r="E468" s="27">
        <v>-3084.5</v>
      </c>
      <c r="F468" s="27">
        <v>0</v>
      </c>
      <c r="H468" s="27">
        <v>0</v>
      </c>
      <c r="J468" s="27">
        <v>-3084.5</v>
      </c>
    </row>
    <row r="469" spans="1:10" ht="15.95" customHeight="1" x14ac:dyDescent="0.2">
      <c r="A469" s="33" t="s">
        <v>721</v>
      </c>
      <c r="B469" s="369" t="s">
        <v>722</v>
      </c>
      <c r="C469" s="370"/>
      <c r="D469" s="370"/>
      <c r="E469" s="27">
        <v>-105.52</v>
      </c>
      <c r="F469" s="27">
        <v>0</v>
      </c>
      <c r="H469" s="27">
        <v>0</v>
      </c>
      <c r="J469" s="27">
        <v>-105.52</v>
      </c>
    </row>
    <row r="470" spans="1:10" ht="15.95" customHeight="1" x14ac:dyDescent="0.2">
      <c r="A470" s="33" t="s">
        <v>723</v>
      </c>
      <c r="B470" s="369" t="s">
        <v>724</v>
      </c>
      <c r="C470" s="370"/>
      <c r="D470" s="370"/>
      <c r="E470" s="27">
        <v>-300000</v>
      </c>
      <c r="F470" s="27">
        <v>364837.23</v>
      </c>
      <c r="H470" s="27">
        <v>64837.23</v>
      </c>
      <c r="J470" s="27">
        <v>0</v>
      </c>
    </row>
    <row r="471" spans="1:10" ht="15.95" customHeight="1" x14ac:dyDescent="0.2">
      <c r="A471" s="33" t="s">
        <v>725</v>
      </c>
      <c r="B471" s="369" t="s">
        <v>726</v>
      </c>
      <c r="C471" s="370"/>
      <c r="D471" s="370"/>
      <c r="E471" s="27">
        <v>-196.05</v>
      </c>
      <c r="F471" s="27">
        <v>0</v>
      </c>
      <c r="H471" s="27">
        <v>0</v>
      </c>
      <c r="J471" s="27">
        <v>-196.05</v>
      </c>
    </row>
    <row r="472" spans="1:10" ht="15.95" customHeight="1" x14ac:dyDescent="0.2">
      <c r="A472" s="33" t="s">
        <v>727</v>
      </c>
      <c r="B472" s="369" t="s">
        <v>728</v>
      </c>
      <c r="C472" s="370"/>
      <c r="D472" s="370"/>
      <c r="E472" s="27">
        <v>-304.98</v>
      </c>
      <c r="F472" s="27">
        <v>0</v>
      </c>
      <c r="H472" s="27">
        <v>0</v>
      </c>
      <c r="J472" s="27">
        <v>-304.98</v>
      </c>
    </row>
    <row r="473" spans="1:10" ht="15.95" customHeight="1" x14ac:dyDescent="0.2">
      <c r="A473" s="33" t="s">
        <v>729</v>
      </c>
      <c r="B473" s="369" t="s">
        <v>730</v>
      </c>
      <c r="C473" s="370"/>
      <c r="D473" s="370"/>
      <c r="E473" s="27">
        <v>-6</v>
      </c>
      <c r="F473" s="27">
        <v>0</v>
      </c>
      <c r="H473" s="27">
        <v>0</v>
      </c>
      <c r="J473" s="27">
        <v>-6</v>
      </c>
    </row>
    <row r="474" spans="1:10" ht="15.95" customHeight="1" x14ac:dyDescent="0.2">
      <c r="A474" s="33" t="s">
        <v>731</v>
      </c>
      <c r="B474" s="369" t="s">
        <v>732</v>
      </c>
      <c r="C474" s="370"/>
      <c r="D474" s="370"/>
      <c r="E474" s="27">
        <v>-203708.46</v>
      </c>
      <c r="F474" s="27">
        <v>304193.13</v>
      </c>
      <c r="H474" s="27">
        <v>101397.11</v>
      </c>
      <c r="J474" s="27">
        <v>-912.44</v>
      </c>
    </row>
    <row r="475" spans="1:10" ht="15.95" customHeight="1" x14ac:dyDescent="0.2">
      <c r="A475" s="33" t="s">
        <v>733</v>
      </c>
      <c r="B475" s="369" t="s">
        <v>734</v>
      </c>
      <c r="C475" s="370"/>
      <c r="D475" s="370"/>
      <c r="E475" s="27">
        <v>0</v>
      </c>
      <c r="F475" s="27">
        <v>2775.25</v>
      </c>
      <c r="H475" s="27">
        <v>3984.3</v>
      </c>
      <c r="J475" s="27">
        <v>-1209.05</v>
      </c>
    </row>
    <row r="476" spans="1:10" ht="15.95" customHeight="1" x14ac:dyDescent="0.2">
      <c r="A476" s="33" t="s">
        <v>735</v>
      </c>
      <c r="B476" s="369" t="s">
        <v>736</v>
      </c>
      <c r="C476" s="370"/>
      <c r="D476" s="370"/>
      <c r="E476" s="27">
        <v>-76.84</v>
      </c>
      <c r="F476" s="27">
        <v>0</v>
      </c>
      <c r="H476" s="27">
        <v>0</v>
      </c>
      <c r="J476" s="27">
        <v>-76.84</v>
      </c>
    </row>
    <row r="477" spans="1:10" ht="15.95" customHeight="1" x14ac:dyDescent="0.2">
      <c r="A477" s="33" t="s">
        <v>737</v>
      </c>
      <c r="B477" s="369" t="s">
        <v>738</v>
      </c>
      <c r="C477" s="370"/>
      <c r="D477" s="370"/>
      <c r="E477" s="27">
        <v>-144.33000000000001</v>
      </c>
      <c r="F477" s="27">
        <v>0</v>
      </c>
      <c r="H477" s="27">
        <v>0</v>
      </c>
      <c r="J477" s="27">
        <v>-144.33000000000001</v>
      </c>
    </row>
    <row r="478" spans="1:10" ht="15.95" customHeight="1" x14ac:dyDescent="0.2">
      <c r="A478" s="33" t="s">
        <v>739</v>
      </c>
      <c r="B478" s="369" t="s">
        <v>740</v>
      </c>
      <c r="C478" s="370"/>
      <c r="D478" s="370"/>
      <c r="E478" s="27">
        <v>-175.2</v>
      </c>
      <c r="F478" s="27">
        <v>0</v>
      </c>
      <c r="H478" s="27">
        <v>0</v>
      </c>
      <c r="J478" s="27">
        <v>-175.2</v>
      </c>
    </row>
    <row r="479" spans="1:10" ht="27.95" customHeight="1" x14ac:dyDescent="0.2">
      <c r="A479" s="33" t="s">
        <v>741</v>
      </c>
      <c r="B479" s="369" t="s">
        <v>742</v>
      </c>
      <c r="C479" s="370"/>
      <c r="D479" s="370"/>
      <c r="E479" s="27">
        <v>-436.29</v>
      </c>
      <c r="F479" s="27">
        <v>0</v>
      </c>
      <c r="H479" s="27">
        <v>0</v>
      </c>
      <c r="J479" s="27">
        <v>-436.29</v>
      </c>
    </row>
    <row r="480" spans="1:10" ht="15.95" customHeight="1" x14ac:dyDescent="0.2">
      <c r="A480" s="401" t="s">
        <v>1441</v>
      </c>
      <c r="B480" s="370"/>
      <c r="C480" s="370"/>
      <c r="D480" s="102" t="s">
        <v>1744</v>
      </c>
      <c r="J480" s="103" t="s">
        <v>1745</v>
      </c>
    </row>
    <row r="481" spans="1:10" ht="20.100000000000001" customHeight="1" x14ac:dyDescent="0.2">
      <c r="A481" s="99" t="s">
        <v>1424</v>
      </c>
      <c r="J481" s="100" t="s">
        <v>1753</v>
      </c>
    </row>
    <row r="482" spans="1:10" ht="15.95" customHeight="1" x14ac:dyDescent="0.2">
      <c r="A482" s="33" t="s">
        <v>1739</v>
      </c>
      <c r="C482" s="33" t="s">
        <v>0</v>
      </c>
      <c r="J482" s="27" t="s">
        <v>1740</v>
      </c>
    </row>
    <row r="483" spans="1:10" ht="14.1" customHeight="1" x14ac:dyDescent="0.2">
      <c r="A483" s="101" t="s">
        <v>1741</v>
      </c>
      <c r="J483" s="27" t="s">
        <v>1742</v>
      </c>
    </row>
    <row r="484" spans="1:10" ht="15" customHeight="1" x14ac:dyDescent="0.2">
      <c r="A484" s="101" t="s">
        <v>1743</v>
      </c>
    </row>
    <row r="485" spans="1:10" ht="23.1" customHeight="1" x14ac:dyDescent="0.2">
      <c r="A485" s="23" t="s">
        <v>55</v>
      </c>
      <c r="B485" s="23" t="s">
        <v>56</v>
      </c>
      <c r="E485" s="24" t="s">
        <v>57</v>
      </c>
      <c r="F485" s="24" t="s">
        <v>58</v>
      </c>
      <c r="H485" s="24" t="s">
        <v>59</v>
      </c>
      <c r="J485" s="24" t="s">
        <v>60</v>
      </c>
    </row>
    <row r="486" spans="1:10" ht="15.95" customHeight="1" x14ac:dyDescent="0.2">
      <c r="A486" s="33" t="s">
        <v>743</v>
      </c>
      <c r="B486" s="369" t="s">
        <v>744</v>
      </c>
      <c r="C486" s="370"/>
      <c r="D486" s="370"/>
      <c r="E486" s="27">
        <v>-67.010000000000005</v>
      </c>
      <c r="F486" s="27">
        <v>0</v>
      </c>
      <c r="H486" s="27">
        <v>0</v>
      </c>
      <c r="J486" s="27">
        <v>-67.010000000000005</v>
      </c>
    </row>
    <row r="487" spans="1:10" ht="15.95" customHeight="1" x14ac:dyDescent="0.2">
      <c r="A487" s="33" t="s">
        <v>745</v>
      </c>
      <c r="B487" s="369" t="s">
        <v>746</v>
      </c>
      <c r="C487" s="370"/>
      <c r="D487" s="370"/>
      <c r="E487" s="27">
        <v>-4644.84</v>
      </c>
      <c r="F487" s="27">
        <v>0</v>
      </c>
      <c r="H487" s="27">
        <v>0</v>
      </c>
      <c r="J487" s="27">
        <v>-4644.84</v>
      </c>
    </row>
    <row r="488" spans="1:10" ht="15.95" customHeight="1" x14ac:dyDescent="0.2">
      <c r="A488" s="33" t="s">
        <v>747</v>
      </c>
      <c r="B488" s="369" t="s">
        <v>748</v>
      </c>
      <c r="C488" s="370"/>
      <c r="D488" s="370"/>
      <c r="E488" s="27">
        <v>-423.16</v>
      </c>
      <c r="F488" s="27">
        <v>0</v>
      </c>
      <c r="H488" s="27">
        <v>0</v>
      </c>
      <c r="J488" s="27">
        <v>-423.16</v>
      </c>
    </row>
    <row r="489" spans="1:10" ht="15.95" customHeight="1" x14ac:dyDescent="0.2">
      <c r="A489" s="33" t="s">
        <v>749</v>
      </c>
      <c r="B489" s="369" t="s">
        <v>750</v>
      </c>
      <c r="C489" s="370"/>
      <c r="D489" s="370"/>
      <c r="E489" s="27">
        <v>-904.46</v>
      </c>
      <c r="F489" s="27">
        <v>0</v>
      </c>
      <c r="H489" s="27">
        <v>0</v>
      </c>
      <c r="J489" s="27">
        <v>-904.46</v>
      </c>
    </row>
    <row r="490" spans="1:10" ht="15.95" customHeight="1" x14ac:dyDescent="0.2">
      <c r="A490" s="33" t="s">
        <v>751</v>
      </c>
      <c r="B490" s="369" t="s">
        <v>752</v>
      </c>
      <c r="C490" s="370"/>
      <c r="D490" s="370"/>
      <c r="E490" s="27">
        <v>-76.56</v>
      </c>
      <c r="F490" s="27">
        <v>0</v>
      </c>
      <c r="H490" s="27">
        <v>0</v>
      </c>
      <c r="J490" s="27">
        <v>-76.56</v>
      </c>
    </row>
    <row r="491" spans="1:10" ht="15.95" customHeight="1" x14ac:dyDescent="0.2">
      <c r="A491" s="33" t="s">
        <v>753</v>
      </c>
      <c r="B491" s="369" t="s">
        <v>754</v>
      </c>
      <c r="C491" s="370"/>
      <c r="D491" s="370"/>
      <c r="E491" s="27">
        <v>-2843.92</v>
      </c>
      <c r="F491" s="27">
        <v>0</v>
      </c>
      <c r="H491" s="27">
        <v>0</v>
      </c>
      <c r="J491" s="27">
        <v>-2843.92</v>
      </c>
    </row>
    <row r="492" spans="1:10" ht="15.95" customHeight="1" x14ac:dyDescent="0.2">
      <c r="A492" s="33" t="s">
        <v>755</v>
      </c>
      <c r="B492" s="369" t="s">
        <v>756</v>
      </c>
      <c r="C492" s="370"/>
      <c r="D492" s="370"/>
      <c r="E492" s="27">
        <v>-274.92</v>
      </c>
      <c r="F492" s="27">
        <v>0</v>
      </c>
      <c r="H492" s="27">
        <v>0</v>
      </c>
      <c r="J492" s="27">
        <v>-274.92</v>
      </c>
    </row>
    <row r="493" spans="1:10" ht="15.95" customHeight="1" x14ac:dyDescent="0.2">
      <c r="A493" s="33" t="s">
        <v>757</v>
      </c>
      <c r="B493" s="369" t="s">
        <v>758</v>
      </c>
      <c r="C493" s="370"/>
      <c r="D493" s="370"/>
      <c r="E493" s="27">
        <v>-247</v>
      </c>
      <c r="F493" s="27">
        <v>0</v>
      </c>
      <c r="H493" s="27">
        <v>0</v>
      </c>
      <c r="J493" s="27">
        <v>-247</v>
      </c>
    </row>
    <row r="494" spans="1:10" ht="15.95" customHeight="1" x14ac:dyDescent="0.2">
      <c r="A494" s="33" t="s">
        <v>759</v>
      </c>
      <c r="B494" s="369" t="s">
        <v>760</v>
      </c>
      <c r="C494" s="370"/>
      <c r="D494" s="370"/>
      <c r="E494" s="27">
        <v>-22698.47</v>
      </c>
      <c r="F494" s="27">
        <v>0</v>
      </c>
      <c r="H494" s="27">
        <v>0</v>
      </c>
      <c r="J494" s="27">
        <v>-22698.47</v>
      </c>
    </row>
    <row r="495" spans="1:10" ht="15.95" customHeight="1" x14ac:dyDescent="0.2">
      <c r="A495" s="33" t="s">
        <v>761</v>
      </c>
      <c r="B495" s="369" t="s">
        <v>762</v>
      </c>
      <c r="C495" s="370"/>
      <c r="D495" s="370"/>
      <c r="E495" s="27">
        <v>-338.57</v>
      </c>
      <c r="F495" s="27">
        <v>0</v>
      </c>
      <c r="H495" s="27">
        <v>0</v>
      </c>
      <c r="J495" s="27">
        <v>-338.57</v>
      </c>
    </row>
    <row r="496" spans="1:10" ht="15.95" customHeight="1" x14ac:dyDescent="0.2">
      <c r="A496" s="33" t="s">
        <v>763</v>
      </c>
      <c r="B496" s="369" t="s">
        <v>764</v>
      </c>
      <c r="C496" s="370"/>
      <c r="D496" s="370"/>
      <c r="E496" s="27">
        <v>-111.7</v>
      </c>
      <c r="F496" s="27">
        <v>0</v>
      </c>
      <c r="H496" s="27">
        <v>0</v>
      </c>
      <c r="J496" s="27">
        <v>-111.7</v>
      </c>
    </row>
    <row r="497" spans="1:10" ht="15.95" customHeight="1" x14ac:dyDescent="0.2">
      <c r="A497" s="33" t="s">
        <v>765</v>
      </c>
      <c r="B497" s="369" t="s">
        <v>766</v>
      </c>
      <c r="C497" s="370"/>
      <c r="D497" s="370"/>
      <c r="E497" s="27">
        <v>-3215.85</v>
      </c>
      <c r="F497" s="27">
        <v>0</v>
      </c>
      <c r="H497" s="27">
        <v>0</v>
      </c>
      <c r="J497" s="27">
        <v>-3215.85</v>
      </c>
    </row>
    <row r="498" spans="1:10" ht="15.95" customHeight="1" x14ac:dyDescent="0.2">
      <c r="A498" s="33" t="s">
        <v>767</v>
      </c>
      <c r="B498" s="369" t="s">
        <v>768</v>
      </c>
      <c r="C498" s="370"/>
      <c r="D498" s="370"/>
      <c r="E498" s="27">
        <v>-861.9</v>
      </c>
      <c r="F498" s="27">
        <v>0</v>
      </c>
      <c r="H498" s="27">
        <v>0</v>
      </c>
      <c r="J498" s="27">
        <v>-861.9</v>
      </c>
    </row>
    <row r="499" spans="1:10" ht="15.95" customHeight="1" x14ac:dyDescent="0.2">
      <c r="A499" s="33" t="s">
        <v>769</v>
      </c>
      <c r="B499" s="369" t="s">
        <v>770</v>
      </c>
      <c r="C499" s="370"/>
      <c r="D499" s="370"/>
      <c r="E499" s="27">
        <v>-2028.49</v>
      </c>
      <c r="F499" s="27">
        <v>0</v>
      </c>
      <c r="H499" s="27">
        <v>0</v>
      </c>
      <c r="J499" s="27">
        <v>-2028.49</v>
      </c>
    </row>
    <row r="500" spans="1:10" ht="15.95" customHeight="1" x14ac:dyDescent="0.2">
      <c r="A500" s="33" t="s">
        <v>771</v>
      </c>
      <c r="B500" s="369" t="s">
        <v>772</v>
      </c>
      <c r="C500" s="370"/>
      <c r="D500" s="370"/>
      <c r="E500" s="27">
        <v>-1261.4000000000001</v>
      </c>
      <c r="F500" s="27">
        <v>0</v>
      </c>
      <c r="H500" s="27">
        <v>0</v>
      </c>
      <c r="J500" s="27">
        <v>-1261.4000000000001</v>
      </c>
    </row>
    <row r="501" spans="1:10" ht="15.95" customHeight="1" x14ac:dyDescent="0.2">
      <c r="A501" s="33" t="s">
        <v>773</v>
      </c>
      <c r="B501" s="369" t="s">
        <v>774</v>
      </c>
      <c r="C501" s="370"/>
      <c r="D501" s="370"/>
      <c r="E501" s="27">
        <v>-5180.93</v>
      </c>
      <c r="F501" s="27">
        <v>0</v>
      </c>
      <c r="H501" s="27">
        <v>0</v>
      </c>
      <c r="J501" s="27">
        <v>-5180.93</v>
      </c>
    </row>
    <row r="502" spans="1:10" ht="15.95" customHeight="1" x14ac:dyDescent="0.2">
      <c r="A502" s="33" t="s">
        <v>775</v>
      </c>
      <c r="B502" s="369" t="s">
        <v>776</v>
      </c>
      <c r="C502" s="370"/>
      <c r="D502" s="370"/>
      <c r="E502" s="27">
        <v>-206.2</v>
      </c>
      <c r="F502" s="27">
        <v>0</v>
      </c>
      <c r="H502" s="27">
        <v>0</v>
      </c>
      <c r="J502" s="27">
        <v>-206.2</v>
      </c>
    </row>
    <row r="503" spans="1:10" ht="15.95" customHeight="1" x14ac:dyDescent="0.2">
      <c r="A503" s="33" t="s">
        <v>777</v>
      </c>
      <c r="B503" s="369" t="s">
        <v>778</v>
      </c>
      <c r="C503" s="370"/>
      <c r="D503" s="370"/>
      <c r="E503" s="27">
        <v>-608.96</v>
      </c>
      <c r="F503" s="27">
        <v>0</v>
      </c>
      <c r="H503" s="27">
        <v>0</v>
      </c>
      <c r="J503" s="27">
        <v>-608.96</v>
      </c>
    </row>
    <row r="504" spans="1:10" ht="15.95" customHeight="1" x14ac:dyDescent="0.2">
      <c r="A504" s="33" t="s">
        <v>779</v>
      </c>
      <c r="B504" s="369" t="s">
        <v>780</v>
      </c>
      <c r="C504" s="370"/>
      <c r="D504" s="370"/>
      <c r="E504" s="27">
        <v>-156.04</v>
      </c>
      <c r="F504" s="27">
        <v>0</v>
      </c>
      <c r="H504" s="27">
        <v>0</v>
      </c>
      <c r="J504" s="27">
        <v>-156.04</v>
      </c>
    </row>
    <row r="505" spans="1:10" ht="15.95" customHeight="1" x14ac:dyDescent="0.2">
      <c r="A505" s="33" t="s">
        <v>781</v>
      </c>
      <c r="B505" s="369" t="s">
        <v>782</v>
      </c>
      <c r="C505" s="370"/>
      <c r="D505" s="370"/>
      <c r="E505" s="27">
        <v>-109.84</v>
      </c>
      <c r="F505" s="27">
        <v>0</v>
      </c>
      <c r="H505" s="27">
        <v>0</v>
      </c>
      <c r="J505" s="27">
        <v>-109.84</v>
      </c>
    </row>
    <row r="506" spans="1:10" ht="15.95" customHeight="1" x14ac:dyDescent="0.2">
      <c r="A506" s="33" t="s">
        <v>783</v>
      </c>
      <c r="B506" s="369" t="s">
        <v>784</v>
      </c>
      <c r="C506" s="370"/>
      <c r="D506" s="370"/>
      <c r="E506" s="27">
        <v>-683.35</v>
      </c>
      <c r="F506" s="27">
        <v>0</v>
      </c>
      <c r="H506" s="27">
        <v>0</v>
      </c>
      <c r="J506" s="27">
        <v>-683.35</v>
      </c>
    </row>
    <row r="507" spans="1:10" ht="15.95" customHeight="1" x14ac:dyDescent="0.2">
      <c r="A507" s="33" t="s">
        <v>785</v>
      </c>
      <c r="B507" s="369" t="s">
        <v>786</v>
      </c>
      <c r="C507" s="370"/>
      <c r="D507" s="370"/>
      <c r="E507" s="27">
        <v>-27</v>
      </c>
      <c r="F507" s="27">
        <v>5954.3</v>
      </c>
      <c r="H507" s="27">
        <v>5954.3</v>
      </c>
      <c r="J507" s="27">
        <v>-27</v>
      </c>
    </row>
    <row r="508" spans="1:10" ht="15.95" customHeight="1" x14ac:dyDescent="0.2">
      <c r="A508" s="33" t="s">
        <v>787</v>
      </c>
      <c r="B508" s="369" t="s">
        <v>788</v>
      </c>
      <c r="C508" s="370"/>
      <c r="D508" s="370"/>
      <c r="E508" s="27">
        <v>-45.32</v>
      </c>
      <c r="F508" s="27">
        <v>0</v>
      </c>
      <c r="H508" s="27">
        <v>0</v>
      </c>
      <c r="J508" s="27">
        <v>-45.32</v>
      </c>
    </row>
    <row r="509" spans="1:10" ht="15.95" customHeight="1" x14ac:dyDescent="0.2">
      <c r="A509" s="33" t="s">
        <v>789</v>
      </c>
      <c r="B509" s="369" t="s">
        <v>790</v>
      </c>
      <c r="C509" s="370"/>
      <c r="D509" s="370"/>
      <c r="E509" s="27">
        <v>-120.7</v>
      </c>
      <c r="F509" s="27">
        <v>0</v>
      </c>
      <c r="H509" s="27">
        <v>0</v>
      </c>
      <c r="J509" s="27">
        <v>-120.7</v>
      </c>
    </row>
    <row r="510" spans="1:10" ht="15.95" customHeight="1" x14ac:dyDescent="0.2">
      <c r="A510" s="33" t="s">
        <v>791</v>
      </c>
      <c r="B510" s="369" t="s">
        <v>792</v>
      </c>
      <c r="C510" s="370"/>
      <c r="D510" s="370"/>
      <c r="E510" s="27">
        <v>-674.65</v>
      </c>
      <c r="F510" s="27">
        <v>0</v>
      </c>
      <c r="H510" s="27">
        <v>0</v>
      </c>
      <c r="J510" s="27">
        <v>-674.65</v>
      </c>
    </row>
    <row r="511" spans="1:10" ht="15.95" customHeight="1" x14ac:dyDescent="0.2">
      <c r="A511" s="33" t="s">
        <v>793</v>
      </c>
      <c r="B511" s="369" t="s">
        <v>794</v>
      </c>
      <c r="C511" s="370"/>
      <c r="D511" s="370"/>
      <c r="E511" s="27">
        <v>-761.21</v>
      </c>
      <c r="F511" s="27">
        <v>0</v>
      </c>
      <c r="H511" s="27">
        <v>0</v>
      </c>
      <c r="J511" s="27">
        <v>-761.21</v>
      </c>
    </row>
    <row r="512" spans="1:10" ht="15.95" customHeight="1" x14ac:dyDescent="0.2">
      <c r="A512" s="33" t="s">
        <v>795</v>
      </c>
      <c r="B512" s="369" t="s">
        <v>796</v>
      </c>
      <c r="C512" s="370"/>
      <c r="D512" s="370"/>
      <c r="E512" s="27">
        <v>-44.62</v>
      </c>
      <c r="F512" s="27">
        <v>0</v>
      </c>
      <c r="H512" s="27">
        <v>0</v>
      </c>
      <c r="J512" s="27">
        <v>-44.62</v>
      </c>
    </row>
    <row r="513" spans="1:10" ht="15.95" customHeight="1" x14ac:dyDescent="0.2">
      <c r="A513" s="33" t="s">
        <v>797</v>
      </c>
      <c r="B513" s="369" t="s">
        <v>798</v>
      </c>
      <c r="C513" s="370"/>
      <c r="D513" s="370"/>
      <c r="E513" s="27">
        <v>-210.27</v>
      </c>
      <c r="F513" s="27">
        <v>0</v>
      </c>
      <c r="H513" s="27">
        <v>0</v>
      </c>
      <c r="J513" s="27">
        <v>-210.27</v>
      </c>
    </row>
    <row r="514" spans="1:10" ht="15.95" customHeight="1" x14ac:dyDescent="0.2">
      <c r="A514" s="33" t="s">
        <v>799</v>
      </c>
      <c r="B514" s="369" t="s">
        <v>800</v>
      </c>
      <c r="C514" s="370"/>
      <c r="D514" s="370"/>
      <c r="E514" s="27">
        <v>-2590.5</v>
      </c>
      <c r="F514" s="27">
        <v>0</v>
      </c>
      <c r="H514" s="27">
        <v>0</v>
      </c>
      <c r="J514" s="27">
        <v>-2590.5</v>
      </c>
    </row>
    <row r="515" spans="1:10" ht="15.95" customHeight="1" x14ac:dyDescent="0.2">
      <c r="A515" s="33" t="s">
        <v>801</v>
      </c>
      <c r="B515" s="369" t="s">
        <v>802</v>
      </c>
      <c r="C515" s="370"/>
      <c r="D515" s="370"/>
      <c r="E515" s="27">
        <v>-57.77</v>
      </c>
      <c r="F515" s="27">
        <v>0</v>
      </c>
      <c r="H515" s="27">
        <v>0</v>
      </c>
      <c r="J515" s="27">
        <v>-57.77</v>
      </c>
    </row>
    <row r="516" spans="1:10" ht="15.95" customHeight="1" x14ac:dyDescent="0.2">
      <c r="A516" s="33" t="s">
        <v>803</v>
      </c>
      <c r="B516" s="369" t="s">
        <v>804</v>
      </c>
      <c r="C516" s="370"/>
      <c r="D516" s="370"/>
      <c r="E516" s="27">
        <v>-384.27</v>
      </c>
      <c r="F516" s="27">
        <v>0</v>
      </c>
      <c r="H516" s="27">
        <v>0</v>
      </c>
      <c r="J516" s="27">
        <v>-384.27</v>
      </c>
    </row>
    <row r="517" spans="1:10" ht="15.95" customHeight="1" x14ac:dyDescent="0.2">
      <c r="A517" s="33" t="s">
        <v>805</v>
      </c>
      <c r="B517" s="369" t="s">
        <v>806</v>
      </c>
      <c r="C517" s="370"/>
      <c r="D517" s="370"/>
      <c r="E517" s="27">
        <v>-35.020000000000003</v>
      </c>
      <c r="F517" s="27">
        <v>0</v>
      </c>
      <c r="H517" s="27">
        <v>0</v>
      </c>
      <c r="J517" s="27">
        <v>-35.020000000000003</v>
      </c>
    </row>
    <row r="518" spans="1:10" ht="15.95" customHeight="1" x14ac:dyDescent="0.2">
      <c r="A518" s="33" t="s">
        <v>807</v>
      </c>
      <c r="B518" s="369" t="s">
        <v>808</v>
      </c>
      <c r="C518" s="370"/>
      <c r="D518" s="370"/>
      <c r="E518" s="27">
        <v>-2538.48</v>
      </c>
      <c r="F518" s="27">
        <v>0</v>
      </c>
      <c r="H518" s="27">
        <v>0</v>
      </c>
      <c r="J518" s="27">
        <v>-2538.48</v>
      </c>
    </row>
    <row r="519" spans="1:10" ht="15.95" customHeight="1" x14ac:dyDescent="0.2">
      <c r="A519" s="33" t="s">
        <v>809</v>
      </c>
      <c r="B519" s="369" t="s">
        <v>810</v>
      </c>
      <c r="C519" s="370"/>
      <c r="D519" s="370"/>
      <c r="E519" s="27">
        <v>-64.599999999999994</v>
      </c>
      <c r="F519" s="27">
        <v>0</v>
      </c>
      <c r="H519" s="27">
        <v>0</v>
      </c>
      <c r="J519" s="27">
        <v>-64.599999999999994</v>
      </c>
    </row>
    <row r="520" spans="1:10" ht="15.95" customHeight="1" x14ac:dyDescent="0.2">
      <c r="A520" s="33" t="s">
        <v>811</v>
      </c>
      <c r="B520" s="369" t="s">
        <v>812</v>
      </c>
      <c r="C520" s="370"/>
      <c r="D520" s="370"/>
      <c r="E520" s="27">
        <v>-410.25</v>
      </c>
      <c r="F520" s="27">
        <v>0</v>
      </c>
      <c r="H520" s="27">
        <v>0</v>
      </c>
      <c r="J520" s="27">
        <v>-410.25</v>
      </c>
    </row>
    <row r="521" spans="1:10" ht="15.95" customHeight="1" x14ac:dyDescent="0.2">
      <c r="A521" s="33" t="s">
        <v>813</v>
      </c>
      <c r="B521" s="369" t="s">
        <v>814</v>
      </c>
      <c r="C521" s="370"/>
      <c r="D521" s="370"/>
      <c r="E521" s="27">
        <v>-49.5</v>
      </c>
      <c r="F521" s="27">
        <v>0</v>
      </c>
      <c r="H521" s="27">
        <v>0</v>
      </c>
      <c r="J521" s="27">
        <v>-49.5</v>
      </c>
    </row>
    <row r="522" spans="1:10" ht="15.95" customHeight="1" x14ac:dyDescent="0.2">
      <c r="A522" s="33" t="s">
        <v>815</v>
      </c>
      <c r="B522" s="369" t="s">
        <v>816</v>
      </c>
      <c r="C522" s="370"/>
      <c r="D522" s="370"/>
      <c r="E522" s="27">
        <v>-228.66</v>
      </c>
      <c r="F522" s="27">
        <v>0</v>
      </c>
      <c r="H522" s="27">
        <v>0</v>
      </c>
      <c r="J522" s="27">
        <v>-228.66</v>
      </c>
    </row>
    <row r="523" spans="1:10" ht="15.95" customHeight="1" x14ac:dyDescent="0.2">
      <c r="A523" s="33" t="s">
        <v>817</v>
      </c>
      <c r="B523" s="369" t="s">
        <v>818</v>
      </c>
      <c r="C523" s="370"/>
      <c r="D523" s="370"/>
      <c r="E523" s="27">
        <v>-145.24</v>
      </c>
      <c r="F523" s="27">
        <v>0</v>
      </c>
      <c r="H523" s="27">
        <v>0</v>
      </c>
      <c r="J523" s="27">
        <v>-145.24</v>
      </c>
    </row>
    <row r="524" spans="1:10" ht="15.95" customHeight="1" x14ac:dyDescent="0.2">
      <c r="A524" s="33" t="s">
        <v>819</v>
      </c>
      <c r="B524" s="369" t="s">
        <v>820</v>
      </c>
      <c r="C524" s="370"/>
      <c r="D524" s="370"/>
      <c r="E524" s="27">
        <v>-515.5</v>
      </c>
      <c r="F524" s="27">
        <v>0</v>
      </c>
      <c r="H524" s="27">
        <v>0</v>
      </c>
      <c r="J524" s="27">
        <v>-515.5</v>
      </c>
    </row>
    <row r="525" spans="1:10" ht="15.95" customHeight="1" x14ac:dyDescent="0.2">
      <c r="A525" s="33" t="s">
        <v>821</v>
      </c>
      <c r="B525" s="369" t="s">
        <v>822</v>
      </c>
      <c r="C525" s="370"/>
      <c r="D525" s="370"/>
      <c r="E525" s="27">
        <v>-22.51</v>
      </c>
      <c r="F525" s="27">
        <v>0</v>
      </c>
      <c r="H525" s="27">
        <v>0</v>
      </c>
      <c r="J525" s="27">
        <v>-22.51</v>
      </c>
    </row>
    <row r="526" spans="1:10" ht="15.95" customHeight="1" x14ac:dyDescent="0.2">
      <c r="A526" s="33" t="s">
        <v>823</v>
      </c>
      <c r="B526" s="369" t="s">
        <v>824</v>
      </c>
      <c r="C526" s="370"/>
      <c r="D526" s="370"/>
      <c r="E526" s="27">
        <v>-10</v>
      </c>
      <c r="F526" s="27">
        <v>0</v>
      </c>
      <c r="H526" s="27">
        <v>0</v>
      </c>
      <c r="J526" s="27">
        <v>-10</v>
      </c>
    </row>
    <row r="527" spans="1:10" ht="15.95" customHeight="1" x14ac:dyDescent="0.2">
      <c r="A527" s="33" t="s">
        <v>825</v>
      </c>
      <c r="B527" s="369" t="s">
        <v>826</v>
      </c>
      <c r="C527" s="370"/>
      <c r="D527" s="370"/>
      <c r="E527" s="27">
        <v>-98.32</v>
      </c>
      <c r="F527" s="27">
        <v>0</v>
      </c>
      <c r="H527" s="27">
        <v>0</v>
      </c>
      <c r="J527" s="27">
        <v>-98.32</v>
      </c>
    </row>
    <row r="528" spans="1:10" ht="15.95" customHeight="1" x14ac:dyDescent="0.2">
      <c r="A528" s="33" t="s">
        <v>827</v>
      </c>
      <c r="B528" s="369" t="s">
        <v>828</v>
      </c>
      <c r="C528" s="370"/>
      <c r="D528" s="370"/>
      <c r="E528" s="27">
        <v>-21.62</v>
      </c>
      <c r="F528" s="27">
        <v>0</v>
      </c>
      <c r="H528" s="27">
        <v>0</v>
      </c>
      <c r="J528" s="27">
        <v>-21.62</v>
      </c>
    </row>
    <row r="529" spans="1:10" ht="15.95" customHeight="1" x14ac:dyDescent="0.2">
      <c r="A529" s="33" t="s">
        <v>829</v>
      </c>
      <c r="B529" s="369" t="s">
        <v>830</v>
      </c>
      <c r="C529" s="370"/>
      <c r="D529" s="370"/>
      <c r="E529" s="27">
        <v>-1274.77</v>
      </c>
      <c r="F529" s="27">
        <v>0</v>
      </c>
      <c r="H529" s="27">
        <v>0</v>
      </c>
      <c r="J529" s="27">
        <v>-1274.77</v>
      </c>
    </row>
    <row r="530" spans="1:10" ht="15.95" customHeight="1" x14ac:dyDescent="0.2">
      <c r="A530" s="33" t="s">
        <v>831</v>
      </c>
      <c r="B530" s="369" t="s">
        <v>832</v>
      </c>
      <c r="C530" s="370"/>
      <c r="D530" s="370"/>
      <c r="E530" s="27">
        <v>-170009.81</v>
      </c>
      <c r="F530" s="27">
        <v>0</v>
      </c>
      <c r="H530" s="27">
        <v>0</v>
      </c>
      <c r="J530" s="27">
        <v>-170009.81</v>
      </c>
    </row>
    <row r="531" spans="1:10" ht="15.95" customHeight="1" x14ac:dyDescent="0.2">
      <c r="A531" s="33" t="s">
        <v>833</v>
      </c>
      <c r="B531" s="369" t="s">
        <v>834</v>
      </c>
      <c r="C531" s="370"/>
      <c r="D531" s="370"/>
      <c r="E531" s="27">
        <v>-268.06</v>
      </c>
      <c r="F531" s="27">
        <v>0</v>
      </c>
      <c r="H531" s="27">
        <v>0</v>
      </c>
      <c r="J531" s="27">
        <v>-268.06</v>
      </c>
    </row>
    <row r="532" spans="1:10" ht="15.95" customHeight="1" x14ac:dyDescent="0.2">
      <c r="A532" s="33" t="s">
        <v>835</v>
      </c>
      <c r="B532" s="369" t="s">
        <v>836</v>
      </c>
      <c r="C532" s="370"/>
      <c r="D532" s="370"/>
      <c r="E532" s="27">
        <v>-394.41</v>
      </c>
      <c r="F532" s="27">
        <v>0</v>
      </c>
      <c r="H532" s="27">
        <v>0</v>
      </c>
      <c r="J532" s="27">
        <v>-394.41</v>
      </c>
    </row>
    <row r="533" spans="1:10" ht="15.95" customHeight="1" x14ac:dyDescent="0.2">
      <c r="A533" s="33" t="s">
        <v>837</v>
      </c>
      <c r="B533" s="369" t="s">
        <v>838</v>
      </c>
      <c r="C533" s="370"/>
      <c r="D533" s="370"/>
      <c r="E533" s="27">
        <v>-140.36000000000001</v>
      </c>
      <c r="F533" s="27">
        <v>0</v>
      </c>
      <c r="H533" s="27">
        <v>0</v>
      </c>
      <c r="J533" s="27">
        <v>-140.36000000000001</v>
      </c>
    </row>
    <row r="534" spans="1:10" ht="15.95" customHeight="1" x14ac:dyDescent="0.2">
      <c r="A534" s="33" t="s">
        <v>839</v>
      </c>
      <c r="B534" s="369" t="s">
        <v>840</v>
      </c>
      <c r="C534" s="370"/>
      <c r="D534" s="370"/>
      <c r="E534" s="27">
        <v>-29.76</v>
      </c>
      <c r="F534" s="27">
        <v>0</v>
      </c>
      <c r="H534" s="27">
        <v>0</v>
      </c>
      <c r="J534" s="27">
        <v>-29.76</v>
      </c>
    </row>
    <row r="535" spans="1:10" ht="15.95" customHeight="1" x14ac:dyDescent="0.2">
      <c r="A535" s="33" t="s">
        <v>841</v>
      </c>
      <c r="B535" s="369" t="s">
        <v>842</v>
      </c>
      <c r="C535" s="370"/>
      <c r="D535" s="370"/>
      <c r="E535" s="27">
        <v>-151.47999999999999</v>
      </c>
      <c r="F535" s="27">
        <v>0</v>
      </c>
      <c r="H535" s="27">
        <v>0</v>
      </c>
      <c r="J535" s="27">
        <v>-151.47999999999999</v>
      </c>
    </row>
    <row r="536" spans="1:10" ht="15.95" customHeight="1" x14ac:dyDescent="0.2">
      <c r="A536" s="33" t="s">
        <v>843</v>
      </c>
      <c r="B536" s="369" t="s">
        <v>844</v>
      </c>
      <c r="C536" s="370"/>
      <c r="D536" s="370"/>
      <c r="E536" s="27">
        <v>-11402.28</v>
      </c>
      <c r="F536" s="27">
        <v>0</v>
      </c>
      <c r="H536" s="27">
        <v>0</v>
      </c>
      <c r="J536" s="27">
        <v>-11402.28</v>
      </c>
    </row>
    <row r="537" spans="1:10" ht="15.95" customHeight="1" x14ac:dyDescent="0.2">
      <c r="A537" s="33" t="s">
        <v>847</v>
      </c>
      <c r="B537" s="369" t="s">
        <v>848</v>
      </c>
      <c r="C537" s="370"/>
      <c r="D537" s="370"/>
      <c r="E537" s="27">
        <v>-260.05</v>
      </c>
      <c r="F537" s="27">
        <v>0</v>
      </c>
      <c r="H537" s="27">
        <v>0</v>
      </c>
      <c r="J537" s="27">
        <v>-260.05</v>
      </c>
    </row>
    <row r="538" spans="1:10" ht="15.95" customHeight="1" x14ac:dyDescent="0.2">
      <c r="A538" s="33" t="s">
        <v>849</v>
      </c>
      <c r="B538" s="369" t="s">
        <v>850</v>
      </c>
      <c r="C538" s="370"/>
      <c r="D538" s="370"/>
      <c r="E538" s="27">
        <v>-20.38</v>
      </c>
      <c r="F538" s="27">
        <v>0</v>
      </c>
      <c r="H538" s="27">
        <v>0</v>
      </c>
      <c r="J538" s="27">
        <v>-20.38</v>
      </c>
    </row>
    <row r="539" spans="1:10" ht="27.95" customHeight="1" x14ac:dyDescent="0.2">
      <c r="A539" s="33" t="s">
        <v>851</v>
      </c>
      <c r="B539" s="369" t="s">
        <v>852</v>
      </c>
      <c r="C539" s="370"/>
      <c r="D539" s="370"/>
      <c r="E539" s="27">
        <v>-286.95999999999998</v>
      </c>
      <c r="F539" s="27">
        <v>0</v>
      </c>
      <c r="H539" s="27">
        <v>0</v>
      </c>
      <c r="J539" s="27">
        <v>-286.95999999999998</v>
      </c>
    </row>
    <row r="540" spans="1:10" ht="15.95" customHeight="1" x14ac:dyDescent="0.2">
      <c r="A540" s="401" t="s">
        <v>1441</v>
      </c>
      <c r="B540" s="370"/>
      <c r="C540" s="370"/>
      <c r="D540" s="102" t="s">
        <v>1744</v>
      </c>
      <c r="J540" s="103" t="s">
        <v>1745</v>
      </c>
    </row>
    <row r="541" spans="1:10" ht="20.100000000000001" customHeight="1" x14ac:dyDescent="0.2">
      <c r="A541" s="99" t="s">
        <v>1424</v>
      </c>
      <c r="J541" s="100" t="s">
        <v>1754</v>
      </c>
    </row>
    <row r="542" spans="1:10" ht="15.95" customHeight="1" x14ac:dyDescent="0.2">
      <c r="A542" s="33" t="s">
        <v>1739</v>
      </c>
      <c r="C542" s="33" t="s">
        <v>0</v>
      </c>
      <c r="J542" s="27" t="s">
        <v>1740</v>
      </c>
    </row>
    <row r="543" spans="1:10" ht="14.1" customHeight="1" x14ac:dyDescent="0.2">
      <c r="A543" s="101" t="s">
        <v>1741</v>
      </c>
      <c r="J543" s="27" t="s">
        <v>1742</v>
      </c>
    </row>
    <row r="544" spans="1:10" ht="15" customHeight="1" x14ac:dyDescent="0.2">
      <c r="A544" s="101" t="s">
        <v>1743</v>
      </c>
    </row>
    <row r="545" spans="1:10" ht="23.1" customHeight="1" x14ac:dyDescent="0.2">
      <c r="A545" s="23" t="s">
        <v>55</v>
      </c>
      <c r="B545" s="23" t="s">
        <v>56</v>
      </c>
      <c r="E545" s="24" t="s">
        <v>57</v>
      </c>
      <c r="F545" s="24" t="s">
        <v>58</v>
      </c>
      <c r="H545" s="24" t="s">
        <v>59</v>
      </c>
      <c r="J545" s="24" t="s">
        <v>60</v>
      </c>
    </row>
    <row r="546" spans="1:10" ht="15.95" customHeight="1" x14ac:dyDescent="0.2">
      <c r="A546" s="33" t="s">
        <v>853</v>
      </c>
      <c r="B546" s="369" t="s">
        <v>854</v>
      </c>
      <c r="C546" s="370"/>
      <c r="D546" s="370"/>
      <c r="E546" s="27">
        <v>-633.79999999999995</v>
      </c>
      <c r="F546" s="27">
        <v>0</v>
      </c>
      <c r="H546" s="27">
        <v>0</v>
      </c>
      <c r="J546" s="27">
        <v>-633.79999999999995</v>
      </c>
    </row>
    <row r="547" spans="1:10" ht="15.95" customHeight="1" x14ac:dyDescent="0.2">
      <c r="A547" s="33" t="s">
        <v>855</v>
      </c>
      <c r="B547" s="369" t="s">
        <v>856</v>
      </c>
      <c r="C547" s="370"/>
      <c r="D547" s="370"/>
      <c r="E547" s="27">
        <v>-260.16000000000003</v>
      </c>
      <c r="F547" s="27">
        <v>0</v>
      </c>
      <c r="H547" s="27">
        <v>0</v>
      </c>
      <c r="J547" s="27">
        <v>-260.16000000000003</v>
      </c>
    </row>
    <row r="548" spans="1:10" ht="15.95" customHeight="1" x14ac:dyDescent="0.2">
      <c r="A548" s="33" t="s">
        <v>857</v>
      </c>
      <c r="B548" s="369" t="s">
        <v>858</v>
      </c>
      <c r="C548" s="370"/>
      <c r="D548" s="370"/>
      <c r="E548" s="27">
        <v>-2953.97</v>
      </c>
      <c r="F548" s="27">
        <v>0</v>
      </c>
      <c r="H548" s="27">
        <v>0</v>
      </c>
      <c r="J548" s="27">
        <v>-2953.97</v>
      </c>
    </row>
    <row r="549" spans="1:10" ht="15.95" customHeight="1" x14ac:dyDescent="0.2">
      <c r="A549" s="33" t="s">
        <v>859</v>
      </c>
      <c r="B549" s="369" t="s">
        <v>860</v>
      </c>
      <c r="C549" s="370"/>
      <c r="D549" s="370"/>
      <c r="E549" s="27">
        <v>-2514.64</v>
      </c>
      <c r="F549" s="27">
        <v>0</v>
      </c>
      <c r="H549" s="27">
        <v>0</v>
      </c>
      <c r="J549" s="27">
        <v>-2514.64</v>
      </c>
    </row>
    <row r="550" spans="1:10" ht="15.95" customHeight="1" x14ac:dyDescent="0.2">
      <c r="A550" s="33" t="s">
        <v>861</v>
      </c>
      <c r="B550" s="369" t="s">
        <v>862</v>
      </c>
      <c r="C550" s="370"/>
      <c r="D550" s="370"/>
      <c r="E550" s="27">
        <v>-29.84</v>
      </c>
      <c r="F550" s="27">
        <v>0</v>
      </c>
      <c r="H550" s="27">
        <v>0</v>
      </c>
      <c r="J550" s="27">
        <v>-29.84</v>
      </c>
    </row>
    <row r="551" spans="1:10" ht="15.95" customHeight="1" x14ac:dyDescent="0.2">
      <c r="A551" s="33" t="s">
        <v>863</v>
      </c>
      <c r="B551" s="369" t="s">
        <v>864</v>
      </c>
      <c r="C551" s="370"/>
      <c r="D551" s="370"/>
      <c r="E551" s="27">
        <v>-866.83</v>
      </c>
      <c r="F551" s="27">
        <v>0</v>
      </c>
      <c r="H551" s="27">
        <v>0</v>
      </c>
      <c r="J551" s="27">
        <v>-866.83</v>
      </c>
    </row>
    <row r="552" spans="1:10" ht="15.95" customHeight="1" x14ac:dyDescent="0.2">
      <c r="A552" s="33" t="s">
        <v>865</v>
      </c>
      <c r="B552" s="369" t="s">
        <v>866</v>
      </c>
      <c r="C552" s="370"/>
      <c r="D552" s="370"/>
      <c r="E552" s="27">
        <v>-236.03</v>
      </c>
      <c r="F552" s="27">
        <v>0</v>
      </c>
      <c r="H552" s="27">
        <v>0</v>
      </c>
      <c r="J552" s="27">
        <v>-236.03</v>
      </c>
    </row>
    <row r="553" spans="1:10" ht="15.95" customHeight="1" x14ac:dyDescent="0.2">
      <c r="A553" s="33" t="s">
        <v>867</v>
      </c>
      <c r="B553" s="369" t="s">
        <v>868</v>
      </c>
      <c r="C553" s="370"/>
      <c r="D553" s="370"/>
      <c r="E553" s="27">
        <v>-148.35</v>
      </c>
      <c r="F553" s="27">
        <v>0</v>
      </c>
      <c r="H553" s="27">
        <v>0</v>
      </c>
      <c r="J553" s="27">
        <v>-148.35</v>
      </c>
    </row>
    <row r="554" spans="1:10" ht="15.95" customHeight="1" x14ac:dyDescent="0.2">
      <c r="A554" s="33" t="s">
        <v>871</v>
      </c>
      <c r="B554" s="369" t="s">
        <v>872</v>
      </c>
      <c r="C554" s="370"/>
      <c r="D554" s="370"/>
      <c r="E554" s="27">
        <v>-70.819999999999993</v>
      </c>
      <c r="F554" s="27">
        <v>0</v>
      </c>
      <c r="H554" s="27">
        <v>0</v>
      </c>
      <c r="J554" s="27">
        <v>-70.819999999999993</v>
      </c>
    </row>
    <row r="555" spans="1:10" ht="15.95" customHeight="1" x14ac:dyDescent="0.2">
      <c r="A555" s="33" t="s">
        <v>873</v>
      </c>
      <c r="B555" s="369" t="s">
        <v>874</v>
      </c>
      <c r="C555" s="370"/>
      <c r="D555" s="370"/>
      <c r="E555" s="27">
        <v>-396.38</v>
      </c>
      <c r="F555" s="27">
        <v>0</v>
      </c>
      <c r="H555" s="27">
        <v>0</v>
      </c>
      <c r="J555" s="27">
        <v>-396.38</v>
      </c>
    </row>
    <row r="556" spans="1:10" ht="15.95" customHeight="1" x14ac:dyDescent="0.2">
      <c r="A556" s="33" t="s">
        <v>875</v>
      </c>
      <c r="B556" s="369" t="s">
        <v>876</v>
      </c>
      <c r="C556" s="370"/>
      <c r="D556" s="370"/>
      <c r="E556" s="27">
        <v>-117.09</v>
      </c>
      <c r="F556" s="27">
        <v>0</v>
      </c>
      <c r="H556" s="27">
        <v>0</v>
      </c>
      <c r="J556" s="27">
        <v>-117.09</v>
      </c>
    </row>
    <row r="557" spans="1:10" ht="15.95" customHeight="1" x14ac:dyDescent="0.2">
      <c r="A557" s="33" t="s">
        <v>877</v>
      </c>
      <c r="B557" s="369" t="s">
        <v>878</v>
      </c>
      <c r="C557" s="370"/>
      <c r="D557" s="370"/>
      <c r="E557" s="27">
        <v>-1638.3</v>
      </c>
      <c r="F557" s="27">
        <v>0</v>
      </c>
      <c r="H557" s="27">
        <v>0</v>
      </c>
      <c r="J557" s="27">
        <v>-1638.3</v>
      </c>
    </row>
    <row r="558" spans="1:10" ht="15.95" customHeight="1" x14ac:dyDescent="0.2">
      <c r="A558" s="33" t="s">
        <v>879</v>
      </c>
      <c r="B558" s="369" t="s">
        <v>880</v>
      </c>
      <c r="C558" s="370"/>
      <c r="D558" s="370"/>
      <c r="E558" s="27">
        <v>-13.09</v>
      </c>
      <c r="F558" s="27">
        <v>0</v>
      </c>
      <c r="H558" s="27">
        <v>0</v>
      </c>
      <c r="J558" s="27">
        <v>-13.09</v>
      </c>
    </row>
    <row r="559" spans="1:10" ht="15.95" customHeight="1" x14ac:dyDescent="0.2">
      <c r="A559" s="33" t="s">
        <v>881</v>
      </c>
      <c r="B559" s="369" t="s">
        <v>882</v>
      </c>
      <c r="C559" s="370"/>
      <c r="D559" s="370"/>
      <c r="E559" s="27">
        <v>-164.32</v>
      </c>
      <c r="F559" s="27">
        <v>0</v>
      </c>
      <c r="H559" s="27">
        <v>0</v>
      </c>
      <c r="J559" s="27">
        <v>-164.32</v>
      </c>
    </row>
    <row r="560" spans="1:10" ht="15.95" customHeight="1" x14ac:dyDescent="0.2">
      <c r="A560" s="33" t="s">
        <v>883</v>
      </c>
      <c r="B560" s="369" t="s">
        <v>884</v>
      </c>
      <c r="C560" s="370"/>
      <c r="D560" s="370"/>
      <c r="E560" s="27">
        <v>-1094.4100000000001</v>
      </c>
      <c r="F560" s="27">
        <v>0</v>
      </c>
      <c r="H560" s="27">
        <v>0</v>
      </c>
      <c r="J560" s="27">
        <v>-1094.4100000000001</v>
      </c>
    </row>
    <row r="561" spans="1:10" ht="15.95" customHeight="1" x14ac:dyDescent="0.2">
      <c r="A561" s="33" t="s">
        <v>885</v>
      </c>
      <c r="B561" s="369" t="s">
        <v>886</v>
      </c>
      <c r="C561" s="370"/>
      <c r="D561" s="370"/>
      <c r="E561" s="27">
        <v>-136.56</v>
      </c>
      <c r="F561" s="27">
        <v>0</v>
      </c>
      <c r="H561" s="27">
        <v>0</v>
      </c>
      <c r="J561" s="27">
        <v>-136.56</v>
      </c>
    </row>
    <row r="562" spans="1:10" ht="15.95" customHeight="1" x14ac:dyDescent="0.2">
      <c r="A562" s="33" t="s">
        <v>887</v>
      </c>
      <c r="B562" s="369" t="s">
        <v>888</v>
      </c>
      <c r="C562" s="370"/>
      <c r="D562" s="370"/>
      <c r="E562" s="27">
        <v>-2046.48</v>
      </c>
      <c r="F562" s="27">
        <v>0</v>
      </c>
      <c r="H562" s="27">
        <v>0</v>
      </c>
      <c r="J562" s="27">
        <v>-2046.48</v>
      </c>
    </row>
    <row r="563" spans="1:10" ht="15.95" customHeight="1" x14ac:dyDescent="0.2">
      <c r="A563" s="33" t="s">
        <v>889</v>
      </c>
      <c r="B563" s="369" t="s">
        <v>890</v>
      </c>
      <c r="C563" s="370"/>
      <c r="D563" s="370"/>
      <c r="E563" s="27">
        <v>-2708.77</v>
      </c>
      <c r="F563" s="27">
        <v>0</v>
      </c>
      <c r="H563" s="27">
        <v>0</v>
      </c>
      <c r="J563" s="27">
        <v>-2708.77</v>
      </c>
    </row>
    <row r="564" spans="1:10" ht="15.95" customHeight="1" x14ac:dyDescent="0.2">
      <c r="A564" s="33" t="s">
        <v>891</v>
      </c>
      <c r="B564" s="369" t="s">
        <v>892</v>
      </c>
      <c r="C564" s="370"/>
      <c r="D564" s="370"/>
      <c r="E564" s="27">
        <v>-1092.42</v>
      </c>
      <c r="F564" s="27">
        <v>0</v>
      </c>
      <c r="H564" s="27">
        <v>0</v>
      </c>
      <c r="J564" s="27">
        <v>-1092.42</v>
      </c>
    </row>
    <row r="565" spans="1:10" ht="15.95" customHeight="1" x14ac:dyDescent="0.2">
      <c r="A565" s="33" t="s">
        <v>893</v>
      </c>
      <c r="B565" s="369" t="s">
        <v>894</v>
      </c>
      <c r="C565" s="370"/>
      <c r="D565" s="370"/>
      <c r="E565" s="27">
        <v>-52.6</v>
      </c>
      <c r="F565" s="27">
        <v>0</v>
      </c>
      <c r="H565" s="27">
        <v>0</v>
      </c>
      <c r="J565" s="27">
        <v>-52.6</v>
      </c>
    </row>
    <row r="566" spans="1:10" ht="15.95" customHeight="1" x14ac:dyDescent="0.2">
      <c r="A566" s="33" t="s">
        <v>895</v>
      </c>
      <c r="B566" s="369" t="s">
        <v>896</v>
      </c>
      <c r="C566" s="370"/>
      <c r="D566" s="370"/>
      <c r="E566" s="27">
        <v>-93.68</v>
      </c>
      <c r="F566" s="27">
        <v>0</v>
      </c>
      <c r="H566" s="27">
        <v>0</v>
      </c>
      <c r="J566" s="27">
        <v>-93.68</v>
      </c>
    </row>
    <row r="567" spans="1:10" ht="15.95" customHeight="1" x14ac:dyDescent="0.2">
      <c r="A567" s="33" t="s">
        <v>897</v>
      </c>
      <c r="B567" s="369" t="s">
        <v>898</v>
      </c>
      <c r="C567" s="370"/>
      <c r="D567" s="370"/>
      <c r="E567" s="27">
        <v>-27.05</v>
      </c>
      <c r="F567" s="27">
        <v>0</v>
      </c>
      <c r="H567" s="27">
        <v>0</v>
      </c>
      <c r="J567" s="27">
        <v>-27.05</v>
      </c>
    </row>
    <row r="568" spans="1:10" ht="15.95" customHeight="1" x14ac:dyDescent="0.2">
      <c r="A568" s="33" t="s">
        <v>899</v>
      </c>
      <c r="B568" s="369" t="s">
        <v>900</v>
      </c>
      <c r="C568" s="370"/>
      <c r="D568" s="370"/>
      <c r="E568" s="27">
        <v>-429.13</v>
      </c>
      <c r="F568" s="27">
        <v>0</v>
      </c>
      <c r="H568" s="27">
        <v>0</v>
      </c>
      <c r="J568" s="27">
        <v>-429.13</v>
      </c>
    </row>
    <row r="569" spans="1:10" ht="15.95" customHeight="1" x14ac:dyDescent="0.2">
      <c r="A569" s="33" t="s">
        <v>901</v>
      </c>
      <c r="B569" s="369" t="s">
        <v>902</v>
      </c>
      <c r="C569" s="370"/>
      <c r="D569" s="370"/>
      <c r="E569" s="27">
        <v>-91.74</v>
      </c>
      <c r="F569" s="27">
        <v>0</v>
      </c>
      <c r="H569" s="27">
        <v>0</v>
      </c>
      <c r="J569" s="27">
        <v>-91.74</v>
      </c>
    </row>
    <row r="570" spans="1:10" ht="15.95" customHeight="1" x14ac:dyDescent="0.2">
      <c r="A570" s="33" t="s">
        <v>903</v>
      </c>
      <c r="B570" s="369" t="s">
        <v>904</v>
      </c>
      <c r="C570" s="370"/>
      <c r="D570" s="370"/>
      <c r="E570" s="27">
        <v>-501</v>
      </c>
      <c r="F570" s="27">
        <v>0</v>
      </c>
      <c r="H570" s="27">
        <v>0</v>
      </c>
      <c r="J570" s="27">
        <v>-501</v>
      </c>
    </row>
    <row r="571" spans="1:10" ht="15.95" customHeight="1" x14ac:dyDescent="0.2">
      <c r="A571" s="33" t="s">
        <v>905</v>
      </c>
      <c r="B571" s="369" t="s">
        <v>906</v>
      </c>
      <c r="C571" s="370"/>
      <c r="D571" s="370"/>
      <c r="E571" s="27">
        <v>-4910.01</v>
      </c>
      <c r="F571" s="27">
        <v>0</v>
      </c>
      <c r="H571" s="27">
        <v>0</v>
      </c>
      <c r="J571" s="27">
        <v>-4910.01</v>
      </c>
    </row>
    <row r="572" spans="1:10" ht="15.95" customHeight="1" x14ac:dyDescent="0.2">
      <c r="A572" s="33" t="s">
        <v>907</v>
      </c>
      <c r="B572" s="369" t="s">
        <v>908</v>
      </c>
      <c r="C572" s="370"/>
      <c r="D572" s="370"/>
      <c r="E572" s="27">
        <v>-106</v>
      </c>
      <c r="F572" s="27">
        <v>0</v>
      </c>
      <c r="H572" s="27">
        <v>0</v>
      </c>
      <c r="J572" s="27">
        <v>-106</v>
      </c>
    </row>
    <row r="573" spans="1:10" ht="15.95" customHeight="1" x14ac:dyDescent="0.2">
      <c r="A573" s="33" t="s">
        <v>909</v>
      </c>
      <c r="B573" s="369" t="s">
        <v>910</v>
      </c>
      <c r="C573" s="370"/>
      <c r="D573" s="370"/>
      <c r="E573" s="27">
        <v>-41.75</v>
      </c>
      <c r="F573" s="27">
        <v>0</v>
      </c>
      <c r="H573" s="27">
        <v>0</v>
      </c>
      <c r="J573" s="27">
        <v>-41.75</v>
      </c>
    </row>
    <row r="574" spans="1:10" ht="15.95" customHeight="1" x14ac:dyDescent="0.2">
      <c r="A574" s="33" t="s">
        <v>1613</v>
      </c>
      <c r="B574" s="369" t="s">
        <v>1614</v>
      </c>
      <c r="C574" s="370"/>
      <c r="D574" s="370"/>
      <c r="E574" s="27">
        <v>-13.74</v>
      </c>
      <c r="F574" s="27">
        <v>13.74</v>
      </c>
      <c r="H574" s="27">
        <v>0</v>
      </c>
      <c r="J574" s="27">
        <v>0</v>
      </c>
    </row>
    <row r="575" spans="1:10" ht="15.95" customHeight="1" x14ac:dyDescent="0.2">
      <c r="A575" s="33" t="s">
        <v>911</v>
      </c>
      <c r="B575" s="369" t="s">
        <v>912</v>
      </c>
      <c r="C575" s="370"/>
      <c r="D575" s="370"/>
      <c r="E575" s="27">
        <v>0</v>
      </c>
      <c r="F575" s="27">
        <v>0</v>
      </c>
      <c r="H575" s="27">
        <v>25.84</v>
      </c>
      <c r="J575" s="27">
        <v>-25.84</v>
      </c>
    </row>
    <row r="576" spans="1:10" ht="15.95" customHeight="1" x14ac:dyDescent="0.2">
      <c r="A576" s="33" t="s">
        <v>913</v>
      </c>
      <c r="B576" s="369" t="s">
        <v>914</v>
      </c>
      <c r="C576" s="370"/>
      <c r="D576" s="370"/>
      <c r="E576" s="27">
        <v>0</v>
      </c>
      <c r="F576" s="27">
        <v>0</v>
      </c>
      <c r="H576" s="27">
        <v>24.95</v>
      </c>
      <c r="J576" s="27">
        <v>-24.95</v>
      </c>
    </row>
    <row r="577" spans="1:10" ht="15.95" customHeight="1" x14ac:dyDescent="0.2">
      <c r="A577" s="33" t="s">
        <v>1615</v>
      </c>
      <c r="B577" s="369" t="s">
        <v>1616</v>
      </c>
      <c r="C577" s="370"/>
      <c r="D577" s="370"/>
      <c r="E577" s="27">
        <v>0</v>
      </c>
      <c r="F577" s="27">
        <v>31691</v>
      </c>
      <c r="H577" s="27">
        <v>31691</v>
      </c>
      <c r="J577" s="27">
        <v>0</v>
      </c>
    </row>
    <row r="578" spans="1:10" ht="15.95" customHeight="1" x14ac:dyDescent="0.2">
      <c r="A578" s="33" t="s">
        <v>915</v>
      </c>
      <c r="B578" s="369" t="s">
        <v>916</v>
      </c>
      <c r="C578" s="370"/>
      <c r="D578" s="370"/>
      <c r="E578" s="27">
        <v>0</v>
      </c>
      <c r="F578" s="27">
        <v>0</v>
      </c>
      <c r="H578" s="27">
        <v>2728.5</v>
      </c>
      <c r="J578" s="27">
        <v>-2728.5</v>
      </c>
    </row>
    <row r="579" spans="1:10" ht="15.95" customHeight="1" x14ac:dyDescent="0.2">
      <c r="A579" s="33" t="s">
        <v>917</v>
      </c>
      <c r="B579" s="369" t="s">
        <v>918</v>
      </c>
      <c r="C579" s="370"/>
      <c r="D579" s="370"/>
      <c r="E579" s="27">
        <v>0</v>
      </c>
      <c r="F579" s="27">
        <v>1403.34</v>
      </c>
      <c r="H579" s="27">
        <v>1993.2</v>
      </c>
      <c r="J579" s="27">
        <v>-589.86</v>
      </c>
    </row>
    <row r="580" spans="1:10" ht="15.95" customHeight="1" x14ac:dyDescent="0.2">
      <c r="A580" s="33" t="s">
        <v>1543</v>
      </c>
      <c r="B580" s="369" t="s">
        <v>1544</v>
      </c>
      <c r="C580" s="370"/>
      <c r="D580" s="370"/>
      <c r="E580" s="27">
        <v>0</v>
      </c>
      <c r="F580" s="27">
        <v>192.71</v>
      </c>
      <c r="H580" s="27">
        <v>192.71</v>
      </c>
      <c r="J580" s="27">
        <v>0</v>
      </c>
    </row>
    <row r="581" spans="1:10" ht="15.95" customHeight="1" x14ac:dyDescent="0.2">
      <c r="A581" s="33" t="s">
        <v>924</v>
      </c>
      <c r="B581" s="369" t="s">
        <v>925</v>
      </c>
      <c r="C581" s="370"/>
      <c r="D581" s="370"/>
      <c r="E581" s="27">
        <v>-614118.05000000005</v>
      </c>
      <c r="F581" s="27">
        <v>491940.73</v>
      </c>
      <c r="H581" s="27">
        <v>146672.16</v>
      </c>
      <c r="J581" s="27">
        <v>-268849.48</v>
      </c>
    </row>
    <row r="582" spans="1:10" ht="15.95" customHeight="1" x14ac:dyDescent="0.2">
      <c r="A582" s="33">
        <v>2170103</v>
      </c>
      <c r="B582" s="369" t="s">
        <v>926</v>
      </c>
      <c r="C582" s="370"/>
      <c r="D582" s="370"/>
      <c r="E582" s="27">
        <v>-2074158.23</v>
      </c>
      <c r="F582" s="27">
        <v>0</v>
      </c>
      <c r="H582" s="27">
        <v>0</v>
      </c>
      <c r="J582" s="27">
        <v>-2074158.23</v>
      </c>
    </row>
    <row r="583" spans="1:10" ht="15.95" customHeight="1" x14ac:dyDescent="0.2">
      <c r="A583" s="33" t="s">
        <v>927</v>
      </c>
      <c r="B583" s="369" t="s">
        <v>928</v>
      </c>
      <c r="C583" s="370"/>
      <c r="D583" s="370"/>
      <c r="E583" s="27">
        <v>-130924.65</v>
      </c>
      <c r="F583" s="27">
        <v>0</v>
      </c>
      <c r="H583" s="27">
        <v>0</v>
      </c>
      <c r="J583" s="27">
        <v>-130924.65</v>
      </c>
    </row>
    <row r="584" spans="1:10" ht="15.95" customHeight="1" x14ac:dyDescent="0.2">
      <c r="A584" s="33" t="s">
        <v>929</v>
      </c>
      <c r="B584" s="369" t="s">
        <v>930</v>
      </c>
      <c r="C584" s="370"/>
      <c r="D584" s="370"/>
      <c r="E584" s="27">
        <v>-226.75</v>
      </c>
      <c r="F584" s="27">
        <v>0</v>
      </c>
      <c r="H584" s="27">
        <v>0</v>
      </c>
      <c r="J584" s="27">
        <v>-226.75</v>
      </c>
    </row>
    <row r="585" spans="1:10" ht="15.95" customHeight="1" x14ac:dyDescent="0.2">
      <c r="A585" s="33" t="s">
        <v>931</v>
      </c>
      <c r="B585" s="369" t="s">
        <v>932</v>
      </c>
      <c r="C585" s="370"/>
      <c r="D585" s="370"/>
      <c r="E585" s="27">
        <v>-1794.57</v>
      </c>
      <c r="F585" s="27">
        <v>0</v>
      </c>
      <c r="H585" s="27">
        <v>0</v>
      </c>
      <c r="J585" s="27">
        <v>-1794.57</v>
      </c>
    </row>
    <row r="586" spans="1:10" ht="15.95" customHeight="1" x14ac:dyDescent="0.2">
      <c r="A586" s="33" t="s">
        <v>933</v>
      </c>
      <c r="B586" s="369" t="s">
        <v>934</v>
      </c>
      <c r="C586" s="370"/>
      <c r="D586" s="370"/>
      <c r="E586" s="27">
        <v>-47342.879999999997</v>
      </c>
      <c r="F586" s="27">
        <v>0</v>
      </c>
      <c r="H586" s="27">
        <v>0</v>
      </c>
      <c r="J586" s="27">
        <v>-47342.879999999997</v>
      </c>
    </row>
    <row r="587" spans="1:10" ht="15.95" customHeight="1" x14ac:dyDescent="0.2">
      <c r="A587" s="33" t="s">
        <v>935</v>
      </c>
      <c r="B587" s="369" t="s">
        <v>936</v>
      </c>
      <c r="C587" s="370"/>
      <c r="D587" s="370"/>
      <c r="E587" s="27">
        <v>-2247.4699999999998</v>
      </c>
      <c r="F587" s="27">
        <v>0</v>
      </c>
      <c r="H587" s="27">
        <v>0</v>
      </c>
      <c r="J587" s="27">
        <v>-2247.4699999999998</v>
      </c>
    </row>
    <row r="588" spans="1:10" ht="15.95" customHeight="1" x14ac:dyDescent="0.2">
      <c r="A588" s="33" t="s">
        <v>937</v>
      </c>
      <c r="B588" s="369" t="s">
        <v>938</v>
      </c>
      <c r="C588" s="370"/>
      <c r="D588" s="370"/>
      <c r="E588" s="27">
        <v>-1269.3900000000001</v>
      </c>
      <c r="F588" s="27">
        <v>0</v>
      </c>
      <c r="H588" s="27">
        <v>0</v>
      </c>
      <c r="J588" s="27">
        <v>-1269.3900000000001</v>
      </c>
    </row>
    <row r="589" spans="1:10" ht="15.95" customHeight="1" x14ac:dyDescent="0.2">
      <c r="A589" s="33" t="s">
        <v>939</v>
      </c>
      <c r="B589" s="369" t="s">
        <v>940</v>
      </c>
      <c r="C589" s="370"/>
      <c r="D589" s="370"/>
      <c r="E589" s="27">
        <v>-33360.89</v>
      </c>
      <c r="F589" s="27">
        <v>0</v>
      </c>
      <c r="H589" s="27">
        <v>0</v>
      </c>
      <c r="J589" s="27">
        <v>-33360.89</v>
      </c>
    </row>
    <row r="590" spans="1:10" ht="15.95" customHeight="1" x14ac:dyDescent="0.2">
      <c r="A590" s="33" t="s">
        <v>941</v>
      </c>
      <c r="B590" s="369" t="s">
        <v>942</v>
      </c>
      <c r="C590" s="370"/>
      <c r="D590" s="370"/>
      <c r="E590" s="27">
        <v>-1242633.32</v>
      </c>
      <c r="F590" s="27">
        <v>0</v>
      </c>
      <c r="H590" s="27">
        <v>0</v>
      </c>
      <c r="J590" s="27">
        <v>-1242633.32</v>
      </c>
    </row>
    <row r="591" spans="1:10" ht="15.95" customHeight="1" x14ac:dyDescent="0.2">
      <c r="A591" s="33" t="s">
        <v>943</v>
      </c>
      <c r="B591" s="369" t="s">
        <v>944</v>
      </c>
      <c r="C591" s="370"/>
      <c r="D591" s="370"/>
      <c r="E591" s="27">
        <v>-1390.47</v>
      </c>
      <c r="F591" s="27">
        <v>0</v>
      </c>
      <c r="H591" s="27">
        <v>0</v>
      </c>
      <c r="J591" s="27">
        <v>-1390.47</v>
      </c>
    </row>
    <row r="592" spans="1:10" ht="15.95" customHeight="1" x14ac:dyDescent="0.2">
      <c r="A592" s="33" t="s">
        <v>945</v>
      </c>
      <c r="B592" s="369" t="s">
        <v>946</v>
      </c>
      <c r="C592" s="370"/>
      <c r="D592" s="370"/>
      <c r="E592" s="27">
        <v>-120520.27</v>
      </c>
      <c r="F592" s="27">
        <v>0</v>
      </c>
      <c r="H592" s="27">
        <v>0</v>
      </c>
      <c r="J592" s="27">
        <v>-120520.27</v>
      </c>
    </row>
    <row r="593" spans="1:10" ht="15.95" customHeight="1" x14ac:dyDescent="0.2">
      <c r="A593" s="33" t="s">
        <v>947</v>
      </c>
      <c r="B593" s="369" t="s">
        <v>948</v>
      </c>
      <c r="C593" s="370"/>
      <c r="D593" s="370"/>
      <c r="E593" s="27">
        <v>-328.74</v>
      </c>
      <c r="F593" s="27">
        <v>0</v>
      </c>
      <c r="H593" s="27">
        <v>0</v>
      </c>
      <c r="J593" s="27">
        <v>-328.74</v>
      </c>
    </row>
    <row r="594" spans="1:10" ht="15.95" customHeight="1" x14ac:dyDescent="0.2">
      <c r="A594" s="33" t="s">
        <v>949</v>
      </c>
      <c r="B594" s="369" t="s">
        <v>950</v>
      </c>
      <c r="C594" s="370"/>
      <c r="D594" s="370"/>
      <c r="E594" s="27">
        <v>-432.02</v>
      </c>
      <c r="F594" s="27">
        <v>0</v>
      </c>
      <c r="H594" s="27">
        <v>0</v>
      </c>
      <c r="J594" s="27">
        <v>-432.02</v>
      </c>
    </row>
    <row r="595" spans="1:10" ht="15.95" customHeight="1" x14ac:dyDescent="0.2">
      <c r="A595" s="33" t="s">
        <v>951</v>
      </c>
      <c r="B595" s="369" t="s">
        <v>952</v>
      </c>
      <c r="C595" s="370"/>
      <c r="D595" s="370"/>
      <c r="E595" s="27">
        <v>-107.73</v>
      </c>
      <c r="F595" s="27">
        <v>0</v>
      </c>
      <c r="H595" s="27">
        <v>0</v>
      </c>
      <c r="J595" s="27">
        <v>-107.73</v>
      </c>
    </row>
    <row r="596" spans="1:10" ht="15.95" customHeight="1" x14ac:dyDescent="0.2">
      <c r="A596" s="33" t="s">
        <v>953</v>
      </c>
      <c r="B596" s="369" t="s">
        <v>954</v>
      </c>
      <c r="C596" s="370"/>
      <c r="D596" s="370"/>
      <c r="E596" s="27">
        <v>-514.91999999999996</v>
      </c>
      <c r="F596" s="27">
        <v>0</v>
      </c>
      <c r="H596" s="27">
        <v>0</v>
      </c>
      <c r="J596" s="27">
        <v>-514.91999999999996</v>
      </c>
    </row>
    <row r="597" spans="1:10" ht="15.95" customHeight="1" x14ac:dyDescent="0.2">
      <c r="A597" s="33" t="s">
        <v>955</v>
      </c>
      <c r="B597" s="369" t="s">
        <v>956</v>
      </c>
      <c r="C597" s="370"/>
      <c r="D597" s="370"/>
      <c r="E597" s="27">
        <v>-18892.57</v>
      </c>
      <c r="F597" s="27">
        <v>0</v>
      </c>
      <c r="H597" s="27">
        <v>0</v>
      </c>
      <c r="J597" s="27">
        <v>-18892.57</v>
      </c>
    </row>
    <row r="598" spans="1:10" ht="15.95" customHeight="1" x14ac:dyDescent="0.2">
      <c r="A598" s="33" t="s">
        <v>957</v>
      </c>
      <c r="B598" s="369" t="s">
        <v>958</v>
      </c>
      <c r="C598" s="370"/>
      <c r="D598" s="370"/>
      <c r="E598" s="27">
        <v>-2092.9</v>
      </c>
      <c r="F598" s="27">
        <v>0</v>
      </c>
      <c r="H598" s="27">
        <v>0</v>
      </c>
      <c r="J598" s="27">
        <v>-2092.9</v>
      </c>
    </row>
    <row r="599" spans="1:10" ht="27.95" customHeight="1" x14ac:dyDescent="0.2">
      <c r="A599" s="33" t="s">
        <v>959</v>
      </c>
      <c r="B599" s="369" t="s">
        <v>960</v>
      </c>
      <c r="C599" s="370"/>
      <c r="D599" s="370"/>
      <c r="E599" s="27">
        <v>-198.92</v>
      </c>
      <c r="F599" s="27">
        <v>0</v>
      </c>
      <c r="H599" s="27">
        <v>0</v>
      </c>
      <c r="J599" s="27">
        <v>-198.92</v>
      </c>
    </row>
    <row r="600" spans="1:10" ht="15.95" customHeight="1" x14ac:dyDescent="0.2">
      <c r="A600" s="401" t="s">
        <v>1441</v>
      </c>
      <c r="B600" s="370"/>
      <c r="C600" s="370"/>
      <c r="D600" s="102" t="s">
        <v>1744</v>
      </c>
      <c r="J600" s="103" t="s">
        <v>1745</v>
      </c>
    </row>
    <row r="601" spans="1:10" ht="20.100000000000001" customHeight="1" x14ac:dyDescent="0.2">
      <c r="A601" s="99" t="s">
        <v>1424</v>
      </c>
      <c r="J601" s="100" t="s">
        <v>1755</v>
      </c>
    </row>
    <row r="602" spans="1:10" ht="15.95" customHeight="1" x14ac:dyDescent="0.2">
      <c r="A602" s="33" t="s">
        <v>1739</v>
      </c>
      <c r="C602" s="33" t="s">
        <v>0</v>
      </c>
      <c r="J602" s="27" t="s">
        <v>1740</v>
      </c>
    </row>
    <row r="603" spans="1:10" ht="14.1" customHeight="1" x14ac:dyDescent="0.2">
      <c r="A603" s="101" t="s">
        <v>1741</v>
      </c>
      <c r="J603" s="27" t="s">
        <v>1742</v>
      </c>
    </row>
    <row r="604" spans="1:10" ht="15" customHeight="1" x14ac:dyDescent="0.2">
      <c r="A604" s="101" t="s">
        <v>1743</v>
      </c>
    </row>
    <row r="605" spans="1:10" ht="23.1" customHeight="1" x14ac:dyDescent="0.2">
      <c r="A605" s="23" t="s">
        <v>55</v>
      </c>
      <c r="B605" s="23" t="s">
        <v>56</v>
      </c>
      <c r="E605" s="24" t="s">
        <v>57</v>
      </c>
      <c r="F605" s="24" t="s">
        <v>58</v>
      </c>
      <c r="H605" s="24" t="s">
        <v>59</v>
      </c>
      <c r="J605" s="24" t="s">
        <v>60</v>
      </c>
    </row>
    <row r="606" spans="1:10" ht="15.95" customHeight="1" x14ac:dyDescent="0.2">
      <c r="A606" s="33" t="s">
        <v>961</v>
      </c>
      <c r="B606" s="369" t="s">
        <v>962</v>
      </c>
      <c r="C606" s="370"/>
      <c r="D606" s="370"/>
      <c r="E606" s="27">
        <v>-631.79999999999995</v>
      </c>
      <c r="F606" s="27">
        <v>0</v>
      </c>
      <c r="H606" s="27">
        <v>0</v>
      </c>
      <c r="J606" s="27">
        <v>-631.79999999999995</v>
      </c>
    </row>
    <row r="607" spans="1:10" ht="15.95" customHeight="1" x14ac:dyDescent="0.2">
      <c r="A607" s="33" t="s">
        <v>963</v>
      </c>
      <c r="B607" s="369" t="s">
        <v>964</v>
      </c>
      <c r="C607" s="370"/>
      <c r="D607" s="370"/>
      <c r="E607" s="27">
        <v>-11.83</v>
      </c>
      <c r="F607" s="27">
        <v>0</v>
      </c>
      <c r="H607" s="27">
        <v>0</v>
      </c>
      <c r="J607" s="27">
        <v>-11.83</v>
      </c>
    </row>
    <row r="608" spans="1:10" ht="15.95" customHeight="1" x14ac:dyDescent="0.2">
      <c r="A608" s="33" t="s">
        <v>965</v>
      </c>
      <c r="B608" s="369" t="s">
        <v>966</v>
      </c>
      <c r="C608" s="370"/>
      <c r="D608" s="370"/>
      <c r="E608" s="27">
        <v>-1312.41</v>
      </c>
      <c r="F608" s="27">
        <v>0</v>
      </c>
      <c r="H608" s="27">
        <v>0</v>
      </c>
      <c r="J608" s="27">
        <v>-1312.41</v>
      </c>
    </row>
    <row r="609" spans="1:10" ht="15.95" customHeight="1" x14ac:dyDescent="0.2">
      <c r="A609" s="33" t="s">
        <v>967</v>
      </c>
      <c r="B609" s="369" t="s">
        <v>968</v>
      </c>
      <c r="C609" s="370"/>
      <c r="D609" s="370"/>
      <c r="E609" s="27">
        <v>-334.96</v>
      </c>
      <c r="F609" s="27">
        <v>0</v>
      </c>
      <c r="H609" s="27">
        <v>0</v>
      </c>
      <c r="J609" s="27">
        <v>-334.96</v>
      </c>
    </row>
    <row r="610" spans="1:10" ht="15.95" customHeight="1" x14ac:dyDescent="0.2">
      <c r="A610" s="33" t="s">
        <v>969</v>
      </c>
      <c r="B610" s="369" t="s">
        <v>970</v>
      </c>
      <c r="C610" s="370"/>
      <c r="D610" s="370"/>
      <c r="E610" s="27">
        <v>-59.39</v>
      </c>
      <c r="F610" s="27">
        <v>0</v>
      </c>
      <c r="H610" s="27">
        <v>0</v>
      </c>
      <c r="J610" s="27">
        <v>-59.39</v>
      </c>
    </row>
    <row r="611" spans="1:10" ht="15.95" customHeight="1" x14ac:dyDescent="0.2">
      <c r="A611" s="33" t="s">
        <v>971</v>
      </c>
      <c r="B611" s="369" t="s">
        <v>972</v>
      </c>
      <c r="C611" s="370"/>
      <c r="D611" s="370"/>
      <c r="E611" s="27">
        <v>-1929.28</v>
      </c>
      <c r="F611" s="27">
        <v>0</v>
      </c>
      <c r="H611" s="27">
        <v>0</v>
      </c>
      <c r="J611" s="27">
        <v>-1929.28</v>
      </c>
    </row>
    <row r="612" spans="1:10" ht="15.95" customHeight="1" x14ac:dyDescent="0.2">
      <c r="A612" s="33" t="s">
        <v>973</v>
      </c>
      <c r="B612" s="369" t="s">
        <v>974</v>
      </c>
      <c r="C612" s="370"/>
      <c r="D612" s="370"/>
      <c r="E612" s="27">
        <v>-465600.1</v>
      </c>
      <c r="F612" s="27">
        <v>0</v>
      </c>
      <c r="H612" s="27">
        <v>0</v>
      </c>
      <c r="J612" s="27">
        <v>-465600.1</v>
      </c>
    </row>
    <row r="613" spans="1:10" ht="15.95" customHeight="1" x14ac:dyDescent="0.2">
      <c r="A613" s="33">
        <v>2170104</v>
      </c>
      <c r="B613" s="369" t="s">
        <v>975</v>
      </c>
      <c r="C613" s="370"/>
      <c r="D613" s="370"/>
      <c r="E613" s="27">
        <v>-710988.14</v>
      </c>
      <c r="F613" s="27">
        <v>7159.12</v>
      </c>
      <c r="H613" s="27">
        <v>8952.67</v>
      </c>
      <c r="J613" s="27">
        <v>-712781.69</v>
      </c>
    </row>
    <row r="614" spans="1:10" ht="15.95" customHeight="1" x14ac:dyDescent="0.2">
      <c r="A614" s="33" t="s">
        <v>976</v>
      </c>
      <c r="B614" s="369" t="s">
        <v>977</v>
      </c>
      <c r="C614" s="370"/>
      <c r="D614" s="370"/>
      <c r="E614" s="27">
        <v>-849.06</v>
      </c>
      <c r="F614" s="27">
        <v>0</v>
      </c>
      <c r="H614" s="27">
        <v>0</v>
      </c>
      <c r="J614" s="27">
        <v>-849.06</v>
      </c>
    </row>
    <row r="615" spans="1:10" ht="15.95" customHeight="1" x14ac:dyDescent="0.2">
      <c r="A615" s="33" t="s">
        <v>978</v>
      </c>
      <c r="B615" s="369" t="s">
        <v>979</v>
      </c>
      <c r="C615" s="370"/>
      <c r="D615" s="370"/>
      <c r="E615" s="27">
        <v>-27781.55</v>
      </c>
      <c r="F615" s="27">
        <v>0</v>
      </c>
      <c r="H615" s="27">
        <v>0</v>
      </c>
      <c r="J615" s="27">
        <v>-27781.55</v>
      </c>
    </row>
    <row r="616" spans="1:10" ht="15.95" customHeight="1" x14ac:dyDescent="0.2">
      <c r="A616" s="33" t="s">
        <v>980</v>
      </c>
      <c r="B616" s="369" t="s">
        <v>981</v>
      </c>
      <c r="C616" s="370"/>
      <c r="D616" s="370"/>
      <c r="E616" s="27">
        <v>-5267.08</v>
      </c>
      <c r="F616" s="27">
        <v>0</v>
      </c>
      <c r="H616" s="27">
        <v>927.94</v>
      </c>
      <c r="J616" s="27">
        <v>-6195.02</v>
      </c>
    </row>
    <row r="617" spans="1:10" ht="15.95" customHeight="1" x14ac:dyDescent="0.2">
      <c r="A617" s="33" t="s">
        <v>982</v>
      </c>
      <c r="B617" s="369" t="s">
        <v>983</v>
      </c>
      <c r="C617" s="370"/>
      <c r="D617" s="370"/>
      <c r="E617" s="27">
        <v>-63.22</v>
      </c>
      <c r="F617" s="27">
        <v>0</v>
      </c>
      <c r="H617" s="27">
        <v>0</v>
      </c>
      <c r="J617" s="27">
        <v>-63.22</v>
      </c>
    </row>
    <row r="618" spans="1:10" ht="15.95" customHeight="1" x14ac:dyDescent="0.2">
      <c r="A618" s="33" t="s">
        <v>984</v>
      </c>
      <c r="B618" s="369" t="s">
        <v>985</v>
      </c>
      <c r="C618" s="370"/>
      <c r="D618" s="370"/>
      <c r="E618" s="27">
        <v>-1989.74</v>
      </c>
      <c r="F618" s="27">
        <v>927.94</v>
      </c>
      <c r="H618" s="27">
        <v>0</v>
      </c>
      <c r="J618" s="27">
        <v>-1061.8</v>
      </c>
    </row>
    <row r="619" spans="1:10" ht="15.95" customHeight="1" x14ac:dyDescent="0.2">
      <c r="A619" s="33" t="s">
        <v>986</v>
      </c>
      <c r="B619" s="369" t="s">
        <v>987</v>
      </c>
      <c r="C619" s="370"/>
      <c r="D619" s="370"/>
      <c r="E619" s="27">
        <v>-134339.62</v>
      </c>
      <c r="F619" s="27">
        <v>0</v>
      </c>
      <c r="H619" s="27">
        <v>0</v>
      </c>
      <c r="J619" s="27">
        <v>-134339.62</v>
      </c>
    </row>
    <row r="620" spans="1:10" ht="15.95" customHeight="1" x14ac:dyDescent="0.2">
      <c r="A620" s="33" t="s">
        <v>988</v>
      </c>
      <c r="B620" s="369" t="s">
        <v>989</v>
      </c>
      <c r="C620" s="370"/>
      <c r="D620" s="370"/>
      <c r="E620" s="27">
        <v>-176.92</v>
      </c>
      <c r="F620" s="27">
        <v>0</v>
      </c>
      <c r="H620" s="27">
        <v>0</v>
      </c>
      <c r="J620" s="27">
        <v>-176.92</v>
      </c>
    </row>
    <row r="621" spans="1:10" ht="15.95" customHeight="1" x14ac:dyDescent="0.2">
      <c r="A621" s="33" t="s">
        <v>990</v>
      </c>
      <c r="B621" s="369" t="s">
        <v>991</v>
      </c>
      <c r="C621" s="370"/>
      <c r="D621" s="370"/>
      <c r="E621" s="27">
        <v>-19700.63</v>
      </c>
      <c r="F621" s="27">
        <v>0</v>
      </c>
      <c r="H621" s="27">
        <v>0</v>
      </c>
      <c r="J621" s="27">
        <v>-19700.63</v>
      </c>
    </row>
    <row r="622" spans="1:10" ht="15.95" customHeight="1" x14ac:dyDescent="0.2">
      <c r="A622" s="33" t="s">
        <v>992</v>
      </c>
      <c r="B622" s="369" t="s">
        <v>993</v>
      </c>
      <c r="C622" s="370"/>
      <c r="D622" s="370"/>
      <c r="E622" s="27">
        <v>-201984.8</v>
      </c>
      <c r="F622" s="27">
        <v>0</v>
      </c>
      <c r="H622" s="27">
        <v>0</v>
      </c>
      <c r="J622" s="27">
        <v>-201984.8</v>
      </c>
    </row>
    <row r="623" spans="1:10" ht="15.95" customHeight="1" x14ac:dyDescent="0.2">
      <c r="A623" s="33" t="s">
        <v>994</v>
      </c>
      <c r="B623" s="369" t="s">
        <v>995</v>
      </c>
      <c r="C623" s="370"/>
      <c r="D623" s="370"/>
      <c r="E623" s="27">
        <v>-447.8</v>
      </c>
      <c r="F623" s="27">
        <v>0</v>
      </c>
      <c r="H623" s="27">
        <v>0</v>
      </c>
      <c r="J623" s="27">
        <v>-447.8</v>
      </c>
    </row>
    <row r="624" spans="1:10" ht="15.95" customHeight="1" x14ac:dyDescent="0.2">
      <c r="A624" s="33" t="s">
        <v>996</v>
      </c>
      <c r="B624" s="369" t="s">
        <v>997</v>
      </c>
      <c r="C624" s="370"/>
      <c r="D624" s="370"/>
      <c r="E624" s="27">
        <v>-68.72</v>
      </c>
      <c r="F624" s="27">
        <v>0</v>
      </c>
      <c r="H624" s="27">
        <v>0</v>
      </c>
      <c r="J624" s="27">
        <v>-68.72</v>
      </c>
    </row>
    <row r="625" spans="1:10" ht="15.95" customHeight="1" x14ac:dyDescent="0.2">
      <c r="A625" s="33" t="s">
        <v>998</v>
      </c>
      <c r="B625" s="369" t="s">
        <v>999</v>
      </c>
      <c r="C625" s="370"/>
      <c r="D625" s="370"/>
      <c r="E625" s="27">
        <v>-1189.55</v>
      </c>
      <c r="F625" s="27">
        <v>0</v>
      </c>
      <c r="H625" s="27">
        <v>0</v>
      </c>
      <c r="J625" s="27">
        <v>-1189.55</v>
      </c>
    </row>
    <row r="626" spans="1:10" ht="15.95" customHeight="1" x14ac:dyDescent="0.2">
      <c r="A626" s="33" t="s">
        <v>1000</v>
      </c>
      <c r="B626" s="369" t="s">
        <v>1001</v>
      </c>
      <c r="C626" s="370"/>
      <c r="D626" s="370"/>
      <c r="E626" s="27">
        <v>-774.09</v>
      </c>
      <c r="F626" s="27">
        <v>0</v>
      </c>
      <c r="H626" s="27">
        <v>0</v>
      </c>
      <c r="J626" s="27">
        <v>-774.09</v>
      </c>
    </row>
    <row r="627" spans="1:10" ht="15.95" customHeight="1" x14ac:dyDescent="0.2">
      <c r="A627" s="33" t="s">
        <v>1002</v>
      </c>
      <c r="B627" s="369" t="s">
        <v>1003</v>
      </c>
      <c r="C627" s="370"/>
      <c r="D627" s="370"/>
      <c r="E627" s="27">
        <v>-360</v>
      </c>
      <c r="F627" s="27">
        <v>0</v>
      </c>
      <c r="H627" s="27">
        <v>0</v>
      </c>
      <c r="J627" s="27">
        <v>-360</v>
      </c>
    </row>
    <row r="628" spans="1:10" ht="15.95" customHeight="1" x14ac:dyDescent="0.2">
      <c r="A628" s="33" t="s">
        <v>1004</v>
      </c>
      <c r="B628" s="369" t="s">
        <v>1005</v>
      </c>
      <c r="C628" s="370"/>
      <c r="D628" s="370"/>
      <c r="E628" s="27">
        <v>-2180.19</v>
      </c>
      <c r="F628" s="27">
        <v>0</v>
      </c>
      <c r="H628" s="27">
        <v>0</v>
      </c>
      <c r="J628" s="27">
        <v>-2180.19</v>
      </c>
    </row>
    <row r="629" spans="1:10" ht="15.95" customHeight="1" x14ac:dyDescent="0.2">
      <c r="A629" s="33" t="s">
        <v>1006</v>
      </c>
      <c r="B629" s="369" t="s">
        <v>1007</v>
      </c>
      <c r="C629" s="370"/>
      <c r="D629" s="370"/>
      <c r="E629" s="27">
        <v>-29612.55</v>
      </c>
      <c r="F629" s="27">
        <v>6231.18</v>
      </c>
      <c r="H629" s="27">
        <v>0</v>
      </c>
      <c r="J629" s="27">
        <v>-23381.37</v>
      </c>
    </row>
    <row r="630" spans="1:10" ht="15.95" customHeight="1" x14ac:dyDescent="0.2">
      <c r="A630" s="33" t="s">
        <v>1008</v>
      </c>
      <c r="B630" s="369" t="s">
        <v>1009</v>
      </c>
      <c r="C630" s="370"/>
      <c r="D630" s="370"/>
      <c r="E630" s="27">
        <v>-36.67</v>
      </c>
      <c r="F630" s="27">
        <v>0</v>
      </c>
      <c r="H630" s="27">
        <v>0</v>
      </c>
      <c r="J630" s="27">
        <v>-36.67</v>
      </c>
    </row>
    <row r="631" spans="1:10" ht="15.95" customHeight="1" x14ac:dyDescent="0.2">
      <c r="A631" s="33" t="s">
        <v>1010</v>
      </c>
      <c r="B631" s="369" t="s">
        <v>1011</v>
      </c>
      <c r="C631" s="370"/>
      <c r="D631" s="370"/>
      <c r="E631" s="27">
        <v>-130436.47</v>
      </c>
      <c r="F631" s="27">
        <v>0</v>
      </c>
      <c r="H631" s="27">
        <v>0</v>
      </c>
      <c r="J631" s="27">
        <v>-130436.47</v>
      </c>
    </row>
    <row r="632" spans="1:10" ht="15.95" customHeight="1" x14ac:dyDescent="0.2">
      <c r="A632" s="33" t="s">
        <v>1012</v>
      </c>
      <c r="B632" s="369" t="s">
        <v>1013</v>
      </c>
      <c r="C632" s="370"/>
      <c r="D632" s="370"/>
      <c r="E632" s="27">
        <v>-90761.279999999999</v>
      </c>
      <c r="F632" s="27">
        <v>0</v>
      </c>
      <c r="H632" s="27">
        <v>0</v>
      </c>
      <c r="J632" s="27">
        <v>-90761.279999999999</v>
      </c>
    </row>
    <row r="633" spans="1:10" ht="15.95" customHeight="1" x14ac:dyDescent="0.2">
      <c r="A633" s="33" t="s">
        <v>1014</v>
      </c>
      <c r="B633" s="369" t="s">
        <v>1015</v>
      </c>
      <c r="C633" s="370"/>
      <c r="D633" s="370"/>
      <c r="E633" s="27">
        <v>-8820.4599999999991</v>
      </c>
      <c r="F633" s="27">
        <v>0</v>
      </c>
      <c r="H633" s="27">
        <v>0</v>
      </c>
      <c r="J633" s="27">
        <v>-8820.4599999999991</v>
      </c>
    </row>
    <row r="634" spans="1:10" ht="15.95" customHeight="1" x14ac:dyDescent="0.2">
      <c r="A634" s="33" t="s">
        <v>1016</v>
      </c>
      <c r="B634" s="369" t="s">
        <v>1017</v>
      </c>
      <c r="C634" s="370"/>
      <c r="D634" s="370"/>
      <c r="E634" s="27">
        <v>-670.72</v>
      </c>
      <c r="F634" s="27">
        <v>0</v>
      </c>
      <c r="H634" s="27">
        <v>0</v>
      </c>
      <c r="J634" s="27">
        <v>-670.72</v>
      </c>
    </row>
    <row r="635" spans="1:10" ht="15.95" customHeight="1" x14ac:dyDescent="0.2">
      <c r="A635" s="33" t="s">
        <v>1018</v>
      </c>
      <c r="B635" s="369" t="s">
        <v>1019</v>
      </c>
      <c r="C635" s="370"/>
      <c r="D635" s="370"/>
      <c r="E635" s="27">
        <v>-2081.5100000000002</v>
      </c>
      <c r="F635" s="27">
        <v>0</v>
      </c>
      <c r="H635" s="27">
        <v>1139.6400000000001</v>
      </c>
      <c r="J635" s="27">
        <v>-3221.15</v>
      </c>
    </row>
    <row r="636" spans="1:10" ht="15.95" customHeight="1" x14ac:dyDescent="0.2">
      <c r="A636" s="33" t="s">
        <v>1020</v>
      </c>
      <c r="B636" s="369" t="s">
        <v>1021</v>
      </c>
      <c r="C636" s="370"/>
      <c r="D636" s="370"/>
      <c r="E636" s="27">
        <v>-200.03</v>
      </c>
      <c r="F636" s="27">
        <v>0</v>
      </c>
      <c r="H636" s="27">
        <v>0</v>
      </c>
      <c r="J636" s="27">
        <v>-200.03</v>
      </c>
    </row>
    <row r="637" spans="1:10" ht="15.95" customHeight="1" x14ac:dyDescent="0.2">
      <c r="A637" s="33" t="s">
        <v>1022</v>
      </c>
      <c r="B637" s="369" t="s">
        <v>1023</v>
      </c>
      <c r="C637" s="370"/>
      <c r="D637" s="370"/>
      <c r="E637" s="27">
        <v>-98.61</v>
      </c>
      <c r="F637" s="27">
        <v>0</v>
      </c>
      <c r="H637" s="27">
        <v>240.64</v>
      </c>
      <c r="J637" s="27">
        <v>-339.25</v>
      </c>
    </row>
    <row r="638" spans="1:10" ht="15.95" customHeight="1" x14ac:dyDescent="0.2">
      <c r="A638" s="33" t="s">
        <v>1024</v>
      </c>
      <c r="B638" s="369" t="s">
        <v>1025</v>
      </c>
      <c r="C638" s="370"/>
      <c r="D638" s="370"/>
      <c r="E638" s="27">
        <v>-200.03</v>
      </c>
      <c r="F638" s="27">
        <v>0</v>
      </c>
      <c r="H638" s="27">
        <v>0</v>
      </c>
      <c r="J638" s="27">
        <v>-200.03</v>
      </c>
    </row>
    <row r="639" spans="1:10" ht="15.95" customHeight="1" x14ac:dyDescent="0.2">
      <c r="A639" s="33" t="s">
        <v>1026</v>
      </c>
      <c r="B639" s="369" t="s">
        <v>1027</v>
      </c>
      <c r="C639" s="370"/>
      <c r="D639" s="370"/>
      <c r="E639" s="27">
        <v>-508.19</v>
      </c>
      <c r="F639" s="27">
        <v>0</v>
      </c>
      <c r="H639" s="27">
        <v>0</v>
      </c>
      <c r="J639" s="27">
        <v>-508.19</v>
      </c>
    </row>
    <row r="640" spans="1:10" ht="15.95" customHeight="1" x14ac:dyDescent="0.2">
      <c r="A640" s="33" t="s">
        <v>1028</v>
      </c>
      <c r="B640" s="369" t="s">
        <v>1029</v>
      </c>
      <c r="C640" s="370"/>
      <c r="D640" s="370"/>
      <c r="E640" s="27">
        <v>-30882.47</v>
      </c>
      <c r="F640" s="27">
        <v>0</v>
      </c>
      <c r="H640" s="27">
        <v>0</v>
      </c>
      <c r="J640" s="27">
        <v>-30882.47</v>
      </c>
    </row>
    <row r="641" spans="1:10" ht="15.95" customHeight="1" x14ac:dyDescent="0.2">
      <c r="A641" s="33" t="s">
        <v>1030</v>
      </c>
      <c r="B641" s="369" t="s">
        <v>1031</v>
      </c>
      <c r="C641" s="370"/>
      <c r="D641" s="370"/>
      <c r="E641" s="27">
        <v>-2991.81</v>
      </c>
      <c r="F641" s="27">
        <v>0</v>
      </c>
      <c r="H641" s="27">
        <v>0</v>
      </c>
      <c r="J641" s="27">
        <v>-2991.81</v>
      </c>
    </row>
    <row r="642" spans="1:10" ht="15.95" customHeight="1" x14ac:dyDescent="0.2">
      <c r="A642" s="33" t="s">
        <v>1032</v>
      </c>
      <c r="B642" s="369" t="s">
        <v>1033</v>
      </c>
      <c r="C642" s="370"/>
      <c r="D642" s="370"/>
      <c r="E642" s="27">
        <v>-304.25</v>
      </c>
      <c r="F642" s="27">
        <v>0</v>
      </c>
      <c r="H642" s="27">
        <v>281.58</v>
      </c>
      <c r="J642" s="27">
        <v>-585.83000000000004</v>
      </c>
    </row>
    <row r="643" spans="1:10" ht="15.95" customHeight="1" x14ac:dyDescent="0.2">
      <c r="A643" s="33" t="s">
        <v>1034</v>
      </c>
      <c r="B643" s="369" t="s">
        <v>1035</v>
      </c>
      <c r="C643" s="370"/>
      <c r="D643" s="370"/>
      <c r="E643" s="27">
        <v>-101.42</v>
      </c>
      <c r="F643" s="27">
        <v>0</v>
      </c>
      <c r="H643" s="27">
        <v>131.69</v>
      </c>
      <c r="J643" s="27">
        <v>-233.11</v>
      </c>
    </row>
    <row r="644" spans="1:10" ht="15.95" customHeight="1" x14ac:dyDescent="0.2">
      <c r="A644" s="33" t="s">
        <v>1036</v>
      </c>
      <c r="B644" s="369" t="s">
        <v>1037</v>
      </c>
      <c r="C644" s="370"/>
      <c r="D644" s="370"/>
      <c r="E644" s="27">
        <v>-48.41</v>
      </c>
      <c r="F644" s="27">
        <v>0</v>
      </c>
      <c r="H644" s="27">
        <v>0</v>
      </c>
      <c r="J644" s="27">
        <v>-48.41</v>
      </c>
    </row>
    <row r="645" spans="1:10" ht="15.95" customHeight="1" x14ac:dyDescent="0.2">
      <c r="A645" s="33" t="s">
        <v>1038</v>
      </c>
      <c r="B645" s="369" t="s">
        <v>1039</v>
      </c>
      <c r="C645" s="370"/>
      <c r="D645" s="370"/>
      <c r="E645" s="27">
        <v>-16060.29</v>
      </c>
      <c r="F645" s="27">
        <v>0</v>
      </c>
      <c r="H645" s="27">
        <v>0</v>
      </c>
      <c r="J645" s="27">
        <v>-16060.29</v>
      </c>
    </row>
    <row r="646" spans="1:10" ht="15.95" customHeight="1" x14ac:dyDescent="0.2">
      <c r="A646" s="33" t="s">
        <v>1040</v>
      </c>
      <c r="B646" s="369" t="s">
        <v>1041</v>
      </c>
      <c r="C646" s="370"/>
      <c r="D646" s="370"/>
      <c r="E646" s="27">
        <v>0</v>
      </c>
      <c r="F646" s="27">
        <v>0</v>
      </c>
      <c r="H646" s="27">
        <v>6231.18</v>
      </c>
      <c r="J646" s="27">
        <v>-6231.18</v>
      </c>
    </row>
    <row r="647" spans="1:10" ht="15.95" customHeight="1" x14ac:dyDescent="0.2">
      <c r="A647" s="33">
        <v>218</v>
      </c>
      <c r="B647" s="369" t="s">
        <v>1042</v>
      </c>
      <c r="C647" s="370"/>
      <c r="D647" s="370"/>
      <c r="E647" s="27">
        <v>-1040133.12</v>
      </c>
      <c r="F647" s="27">
        <v>600001.93000000005</v>
      </c>
      <c r="H647" s="27">
        <v>22.12</v>
      </c>
      <c r="J647" s="27">
        <v>-440153.31</v>
      </c>
    </row>
    <row r="648" spans="1:10" ht="15.95" customHeight="1" x14ac:dyDescent="0.2">
      <c r="A648" s="33">
        <v>21801</v>
      </c>
      <c r="B648" s="369" t="s">
        <v>1043</v>
      </c>
      <c r="C648" s="370"/>
      <c r="D648" s="370"/>
      <c r="E648" s="27">
        <v>111332.6</v>
      </c>
      <c r="F648" s="27">
        <v>1.93</v>
      </c>
      <c r="H648" s="27">
        <v>22.12</v>
      </c>
      <c r="J648" s="27">
        <v>111312.41</v>
      </c>
    </row>
    <row r="649" spans="1:10" ht="15.95" customHeight="1" x14ac:dyDescent="0.2">
      <c r="A649" s="33">
        <v>2180102</v>
      </c>
      <c r="B649" s="369" t="s">
        <v>1044</v>
      </c>
      <c r="C649" s="370"/>
      <c r="D649" s="370"/>
      <c r="E649" s="27">
        <v>-91861.41</v>
      </c>
      <c r="F649" s="27">
        <v>1.93</v>
      </c>
      <c r="H649" s="27">
        <v>8.65</v>
      </c>
      <c r="J649" s="27">
        <v>-91868.13</v>
      </c>
    </row>
    <row r="650" spans="1:10" ht="15.95" customHeight="1" x14ac:dyDescent="0.2">
      <c r="A650" s="33" t="s">
        <v>1045</v>
      </c>
      <c r="B650" s="369" t="s">
        <v>1046</v>
      </c>
      <c r="C650" s="370"/>
      <c r="D650" s="370"/>
      <c r="E650" s="27">
        <v>-91861.41</v>
      </c>
      <c r="F650" s="27">
        <v>1.93</v>
      </c>
      <c r="H650" s="27">
        <v>8.65</v>
      </c>
      <c r="J650" s="27">
        <v>-91868.13</v>
      </c>
    </row>
    <row r="651" spans="1:10" ht="15.95" customHeight="1" x14ac:dyDescent="0.2">
      <c r="A651" s="33">
        <v>2180103</v>
      </c>
      <c r="B651" s="369" t="s">
        <v>1047</v>
      </c>
      <c r="C651" s="370"/>
      <c r="D651" s="370"/>
      <c r="E651" s="27">
        <v>203194.01</v>
      </c>
      <c r="F651" s="27">
        <v>0</v>
      </c>
      <c r="H651" s="27">
        <v>13.47</v>
      </c>
      <c r="J651" s="27">
        <v>203180.54</v>
      </c>
    </row>
    <row r="652" spans="1:10" ht="15.95" customHeight="1" x14ac:dyDescent="0.2">
      <c r="A652" s="33" t="s">
        <v>1048</v>
      </c>
      <c r="B652" s="369" t="s">
        <v>1049</v>
      </c>
      <c r="C652" s="370"/>
      <c r="D652" s="370"/>
      <c r="E652" s="27">
        <v>203194.01</v>
      </c>
      <c r="F652" s="27">
        <v>0</v>
      </c>
      <c r="H652" s="27">
        <v>13.47</v>
      </c>
      <c r="J652" s="27">
        <v>203180.54</v>
      </c>
    </row>
    <row r="653" spans="1:10" ht="15.95" customHeight="1" x14ac:dyDescent="0.2">
      <c r="A653" s="33">
        <v>21802</v>
      </c>
      <c r="B653" s="369" t="s">
        <v>1050</v>
      </c>
      <c r="C653" s="370"/>
      <c r="D653" s="370"/>
      <c r="E653" s="27">
        <v>-1151465.72</v>
      </c>
      <c r="F653" s="27">
        <v>600000</v>
      </c>
      <c r="H653" s="27">
        <v>0</v>
      </c>
      <c r="J653" s="27">
        <v>-551465.72</v>
      </c>
    </row>
    <row r="654" spans="1:10" ht="15.95" customHeight="1" x14ac:dyDescent="0.2">
      <c r="A654" s="33">
        <v>2180201</v>
      </c>
      <c r="B654" s="369" t="s">
        <v>1051</v>
      </c>
      <c r="C654" s="370"/>
      <c r="D654" s="370"/>
      <c r="E654" s="27">
        <v>-633549.69999999995</v>
      </c>
      <c r="F654" s="27">
        <v>600000</v>
      </c>
      <c r="H654" s="27">
        <v>0</v>
      </c>
      <c r="J654" s="27">
        <v>-33549.699999999997</v>
      </c>
    </row>
    <row r="655" spans="1:10" ht="15.95" customHeight="1" x14ac:dyDescent="0.2">
      <c r="A655" s="33" t="s">
        <v>1052</v>
      </c>
      <c r="B655" s="369" t="s">
        <v>1053</v>
      </c>
      <c r="C655" s="370"/>
      <c r="D655" s="370"/>
      <c r="E655" s="27">
        <v>-633549.69999999995</v>
      </c>
      <c r="F655" s="27">
        <v>600000</v>
      </c>
      <c r="H655" s="27">
        <v>0</v>
      </c>
      <c r="J655" s="27">
        <v>-33549.699999999997</v>
      </c>
    </row>
    <row r="656" spans="1:10" ht="15.95" customHeight="1" x14ac:dyDescent="0.2">
      <c r="A656" s="33">
        <v>2180202</v>
      </c>
      <c r="B656" s="369" t="s">
        <v>1054</v>
      </c>
      <c r="C656" s="370"/>
      <c r="D656" s="370"/>
      <c r="E656" s="27">
        <v>-3333.33</v>
      </c>
      <c r="F656" s="27">
        <v>0</v>
      </c>
      <c r="H656" s="27">
        <v>0</v>
      </c>
      <c r="J656" s="27">
        <v>-3333.33</v>
      </c>
    </row>
    <row r="657" spans="1:10" ht="15.95" customHeight="1" x14ac:dyDescent="0.2">
      <c r="A657" s="33" t="s">
        <v>1055</v>
      </c>
      <c r="B657" s="369" t="s">
        <v>1054</v>
      </c>
      <c r="C657" s="370"/>
      <c r="D657" s="370"/>
      <c r="E657" s="27">
        <v>-3333.33</v>
      </c>
      <c r="F657" s="27">
        <v>0</v>
      </c>
      <c r="H657" s="27">
        <v>0</v>
      </c>
      <c r="J657" s="27">
        <v>-3333.33</v>
      </c>
    </row>
    <row r="658" spans="1:10" ht="15.95" customHeight="1" x14ac:dyDescent="0.2">
      <c r="A658" s="33">
        <v>2180203</v>
      </c>
      <c r="B658" s="369" t="s">
        <v>1056</v>
      </c>
      <c r="C658" s="370"/>
      <c r="D658" s="370"/>
      <c r="E658" s="27">
        <v>-514582.69</v>
      </c>
      <c r="F658" s="27">
        <v>0</v>
      </c>
      <c r="H658" s="27">
        <v>0</v>
      </c>
      <c r="J658" s="27">
        <v>-514582.69</v>
      </c>
    </row>
    <row r="659" spans="1:10" ht="27.95" customHeight="1" x14ac:dyDescent="0.2">
      <c r="A659" s="33" t="s">
        <v>1057</v>
      </c>
      <c r="B659" s="369" t="s">
        <v>1056</v>
      </c>
      <c r="C659" s="370"/>
      <c r="D659" s="370"/>
      <c r="E659" s="27">
        <v>-514582.69</v>
      </c>
      <c r="F659" s="27">
        <v>0</v>
      </c>
      <c r="H659" s="27">
        <v>0</v>
      </c>
      <c r="J659" s="27">
        <v>-514582.69</v>
      </c>
    </row>
    <row r="660" spans="1:10" ht="15.95" customHeight="1" x14ac:dyDescent="0.2">
      <c r="A660" s="401" t="s">
        <v>1441</v>
      </c>
      <c r="B660" s="370"/>
      <c r="C660" s="370"/>
      <c r="D660" s="102" t="s">
        <v>1744</v>
      </c>
      <c r="J660" s="103" t="s">
        <v>1745</v>
      </c>
    </row>
    <row r="661" spans="1:10" ht="20.100000000000001" customHeight="1" x14ac:dyDescent="0.2">
      <c r="A661" s="99" t="s">
        <v>1424</v>
      </c>
      <c r="J661" s="100" t="s">
        <v>1756</v>
      </c>
    </row>
    <row r="662" spans="1:10" ht="15.95" customHeight="1" x14ac:dyDescent="0.2">
      <c r="A662" s="33" t="s">
        <v>1739</v>
      </c>
      <c r="C662" s="33" t="s">
        <v>0</v>
      </c>
      <c r="J662" s="27" t="s">
        <v>1740</v>
      </c>
    </row>
    <row r="663" spans="1:10" ht="14.1" customHeight="1" x14ac:dyDescent="0.2">
      <c r="A663" s="101" t="s">
        <v>1741</v>
      </c>
      <c r="J663" s="27" t="s">
        <v>1742</v>
      </c>
    </row>
    <row r="664" spans="1:10" ht="15" customHeight="1" x14ac:dyDescent="0.2">
      <c r="A664" s="101" t="s">
        <v>1743</v>
      </c>
    </row>
    <row r="665" spans="1:10" ht="23.1" customHeight="1" x14ac:dyDescent="0.2">
      <c r="A665" s="23" t="s">
        <v>55</v>
      </c>
      <c r="B665" s="23" t="s">
        <v>56</v>
      </c>
      <c r="E665" s="24" t="s">
        <v>57</v>
      </c>
      <c r="F665" s="24" t="s">
        <v>58</v>
      </c>
      <c r="H665" s="24" t="s">
        <v>59</v>
      </c>
      <c r="J665" s="24" t="s">
        <v>60</v>
      </c>
    </row>
    <row r="666" spans="1:10" ht="15.95" customHeight="1" x14ac:dyDescent="0.2">
      <c r="A666" s="33">
        <v>219</v>
      </c>
      <c r="B666" s="369" t="s">
        <v>1058</v>
      </c>
      <c r="C666" s="370"/>
      <c r="D666" s="370"/>
      <c r="E666" s="27">
        <v>-2304882.84</v>
      </c>
      <c r="F666" s="27">
        <v>1702620.75</v>
      </c>
      <c r="H666" s="27">
        <v>2478480.48</v>
      </c>
      <c r="J666" s="27">
        <v>-3080742.57</v>
      </c>
    </row>
    <row r="667" spans="1:10" ht="15.95" customHeight="1" x14ac:dyDescent="0.2">
      <c r="A667" s="33">
        <v>21901</v>
      </c>
      <c r="B667" s="369" t="s">
        <v>1058</v>
      </c>
      <c r="C667" s="370"/>
      <c r="D667" s="370"/>
      <c r="E667" s="27">
        <v>-2304882.84</v>
      </c>
      <c r="F667" s="27">
        <v>1702620.75</v>
      </c>
      <c r="H667" s="27">
        <v>2478480.48</v>
      </c>
      <c r="J667" s="27">
        <v>-3080742.57</v>
      </c>
    </row>
    <row r="668" spans="1:10" ht="15.95" customHeight="1" x14ac:dyDescent="0.2">
      <c r="A668" s="33">
        <v>2190101</v>
      </c>
      <c r="B668" s="369" t="s">
        <v>1058</v>
      </c>
      <c r="C668" s="370"/>
      <c r="D668" s="370"/>
      <c r="E668" s="27">
        <v>-2304882.84</v>
      </c>
      <c r="F668" s="27">
        <v>1702620.75</v>
      </c>
      <c r="H668" s="27">
        <v>2478480.48</v>
      </c>
      <c r="J668" s="27">
        <v>-3080742.57</v>
      </c>
    </row>
    <row r="669" spans="1:10" ht="15.95" customHeight="1" x14ac:dyDescent="0.2">
      <c r="A669" s="33" t="s">
        <v>1059</v>
      </c>
      <c r="B669" s="369" t="s">
        <v>1060</v>
      </c>
      <c r="C669" s="370"/>
      <c r="D669" s="370"/>
      <c r="E669" s="27">
        <v>-4091.69</v>
      </c>
      <c r="F669" s="27">
        <v>46492.480000000003</v>
      </c>
      <c r="H669" s="27">
        <v>631384.28</v>
      </c>
      <c r="J669" s="27">
        <v>-588983.49</v>
      </c>
    </row>
    <row r="670" spans="1:10" ht="15.95" customHeight="1" x14ac:dyDescent="0.2">
      <c r="A670" s="33" t="s">
        <v>1061</v>
      </c>
      <c r="B670" s="369" t="s">
        <v>1062</v>
      </c>
      <c r="C670" s="370"/>
      <c r="D670" s="370"/>
      <c r="E670" s="27">
        <v>-1538801.86</v>
      </c>
      <c r="F670" s="27">
        <v>1279801.7</v>
      </c>
      <c r="H670" s="27">
        <v>1264550.8899999999</v>
      </c>
      <c r="J670" s="27">
        <v>-1523551.05</v>
      </c>
    </row>
    <row r="671" spans="1:10" ht="15.95" customHeight="1" x14ac:dyDescent="0.2">
      <c r="A671" s="33" t="s">
        <v>1063</v>
      </c>
      <c r="B671" s="369" t="s">
        <v>1064</v>
      </c>
      <c r="C671" s="370"/>
      <c r="D671" s="370"/>
      <c r="E671" s="27">
        <v>-410860.1</v>
      </c>
      <c r="F671" s="27">
        <v>280314.53999999998</v>
      </c>
      <c r="H671" s="27">
        <v>276242.59999999998</v>
      </c>
      <c r="J671" s="27">
        <v>-406788.16</v>
      </c>
    </row>
    <row r="672" spans="1:10" ht="15.95" customHeight="1" x14ac:dyDescent="0.2">
      <c r="A672" s="33" t="s">
        <v>1065</v>
      </c>
      <c r="B672" s="369" t="s">
        <v>1066</v>
      </c>
      <c r="C672" s="370"/>
      <c r="D672" s="370"/>
      <c r="E672" s="27">
        <v>-123104.15</v>
      </c>
      <c r="F672" s="27">
        <v>83786.850000000006</v>
      </c>
      <c r="H672" s="27">
        <v>82566.83</v>
      </c>
      <c r="J672" s="27">
        <v>-121884.13</v>
      </c>
    </row>
    <row r="673" spans="1:10" ht="15.95" customHeight="1" x14ac:dyDescent="0.2">
      <c r="A673" s="33" t="s">
        <v>1067</v>
      </c>
      <c r="B673" s="369" t="s">
        <v>1068</v>
      </c>
      <c r="C673" s="370"/>
      <c r="D673" s="370"/>
      <c r="E673" s="27">
        <v>-226461.63</v>
      </c>
      <c r="F673" s="27">
        <v>18</v>
      </c>
      <c r="H673" s="27">
        <v>8571.25</v>
      </c>
      <c r="J673" s="27">
        <v>-235014.88</v>
      </c>
    </row>
    <row r="674" spans="1:10" ht="15.95" customHeight="1" x14ac:dyDescent="0.2">
      <c r="A674" s="33" t="s">
        <v>1069</v>
      </c>
      <c r="B674" s="369" t="s">
        <v>1070</v>
      </c>
      <c r="C674" s="370"/>
      <c r="D674" s="370"/>
      <c r="E674" s="27">
        <v>-1204.8399999999999</v>
      </c>
      <c r="F674" s="27">
        <v>9392.85</v>
      </c>
      <c r="H674" s="27">
        <v>165558.96</v>
      </c>
      <c r="J674" s="27">
        <v>-157370.95000000001</v>
      </c>
    </row>
    <row r="675" spans="1:10" ht="15.95" customHeight="1" x14ac:dyDescent="0.2">
      <c r="A675" s="33" t="s">
        <v>1071</v>
      </c>
      <c r="B675" s="369" t="s">
        <v>1072</v>
      </c>
      <c r="C675" s="370"/>
      <c r="D675" s="370"/>
      <c r="E675" s="27">
        <v>-358.57</v>
      </c>
      <c r="F675" s="27">
        <v>2814.33</v>
      </c>
      <c r="H675" s="27">
        <v>49605.67</v>
      </c>
      <c r="J675" s="27">
        <v>-47149.91</v>
      </c>
    </row>
    <row r="676" spans="1:10" ht="15.95" customHeight="1" x14ac:dyDescent="0.2">
      <c r="A676" s="33">
        <v>22</v>
      </c>
      <c r="B676" s="369" t="s">
        <v>1073</v>
      </c>
      <c r="C676" s="370"/>
      <c r="D676" s="370"/>
      <c r="E676" s="27">
        <v>-53695589.869999997</v>
      </c>
      <c r="F676" s="27">
        <v>342870.18</v>
      </c>
      <c r="H676" s="27">
        <v>1658207.93</v>
      </c>
      <c r="J676" s="27">
        <v>-55010927.619999997</v>
      </c>
    </row>
    <row r="677" spans="1:10" ht="15.95" customHeight="1" x14ac:dyDescent="0.2">
      <c r="A677" s="33">
        <v>224</v>
      </c>
      <c r="B677" s="369" t="s">
        <v>1074</v>
      </c>
      <c r="C677" s="370"/>
      <c r="D677" s="370"/>
      <c r="E677" s="27">
        <v>-3540565.58</v>
      </c>
      <c r="F677" s="27">
        <v>342870.18</v>
      </c>
      <c r="H677" s="27">
        <v>116345.17</v>
      </c>
      <c r="J677" s="27">
        <v>-3314040.57</v>
      </c>
    </row>
    <row r="678" spans="1:10" ht="15.95" customHeight="1" x14ac:dyDescent="0.2">
      <c r="A678" s="33">
        <v>22401</v>
      </c>
      <c r="B678" s="369" t="s">
        <v>1075</v>
      </c>
      <c r="C678" s="370"/>
      <c r="D678" s="370"/>
      <c r="E678" s="27">
        <v>-3540565.58</v>
      </c>
      <c r="F678" s="27">
        <v>342870.18</v>
      </c>
      <c r="H678" s="27">
        <v>116345.17</v>
      </c>
      <c r="J678" s="27">
        <v>-3314040.57</v>
      </c>
    </row>
    <row r="679" spans="1:10" ht="15.95" customHeight="1" x14ac:dyDescent="0.2">
      <c r="A679" s="33">
        <v>2240101</v>
      </c>
      <c r="B679" s="369" t="s">
        <v>1075</v>
      </c>
      <c r="C679" s="370"/>
      <c r="D679" s="370"/>
      <c r="E679" s="27">
        <v>-3540565.58</v>
      </c>
      <c r="F679" s="27">
        <v>342870.18</v>
      </c>
      <c r="H679" s="27">
        <v>116345.17</v>
      </c>
      <c r="J679" s="27">
        <v>-3314040.57</v>
      </c>
    </row>
    <row r="680" spans="1:10" ht="15.95" customHeight="1" x14ac:dyDescent="0.2">
      <c r="A680" s="33" t="s">
        <v>1076</v>
      </c>
      <c r="B680" s="369" t="s">
        <v>634</v>
      </c>
      <c r="C680" s="370"/>
      <c r="D680" s="370"/>
      <c r="E680" s="27">
        <v>-3387630.04</v>
      </c>
      <c r="F680" s="27">
        <v>314907.84000000003</v>
      </c>
      <c r="H680" s="27">
        <v>114910.76</v>
      </c>
      <c r="J680" s="27">
        <v>-3187632.96</v>
      </c>
    </row>
    <row r="681" spans="1:10" ht="15.95" customHeight="1" x14ac:dyDescent="0.2">
      <c r="A681" s="33" t="s">
        <v>1077</v>
      </c>
      <c r="B681" s="369" t="s">
        <v>652</v>
      </c>
      <c r="C681" s="370"/>
      <c r="D681" s="370"/>
      <c r="E681" s="27">
        <v>-152935.54</v>
      </c>
      <c r="F681" s="27">
        <v>27962.34</v>
      </c>
      <c r="H681" s="27">
        <v>1434.41</v>
      </c>
      <c r="J681" s="27">
        <v>-126407.61</v>
      </c>
    </row>
    <row r="682" spans="1:10" ht="15.95" customHeight="1" x14ac:dyDescent="0.2">
      <c r="A682" s="33">
        <v>225</v>
      </c>
      <c r="B682" s="369" t="s">
        <v>1078</v>
      </c>
      <c r="C682" s="370"/>
      <c r="D682" s="370"/>
      <c r="E682" s="27">
        <v>-50155024.289999999</v>
      </c>
      <c r="F682" s="27">
        <v>0</v>
      </c>
      <c r="H682" s="27">
        <v>1541862.76</v>
      </c>
      <c r="J682" s="27">
        <v>-51696887.049999997</v>
      </c>
    </row>
    <row r="683" spans="1:10" ht="15.95" customHeight="1" x14ac:dyDescent="0.2">
      <c r="A683" s="33">
        <v>22501</v>
      </c>
      <c r="B683" s="369" t="s">
        <v>1079</v>
      </c>
      <c r="C683" s="370"/>
      <c r="D683" s="370"/>
      <c r="E683" s="27">
        <v>-50155024.289999999</v>
      </c>
      <c r="F683" s="27">
        <v>0</v>
      </c>
      <c r="H683" s="27">
        <v>1541862.76</v>
      </c>
      <c r="J683" s="27">
        <v>-51696887.049999997</v>
      </c>
    </row>
    <row r="684" spans="1:10" ht="15.95" customHeight="1" x14ac:dyDescent="0.2">
      <c r="A684" s="33">
        <v>2250101</v>
      </c>
      <c r="B684" s="369" t="s">
        <v>1079</v>
      </c>
      <c r="C684" s="370"/>
      <c r="D684" s="370"/>
      <c r="E684" s="27">
        <v>-50155024.289999999</v>
      </c>
      <c r="F684" s="27">
        <v>0</v>
      </c>
      <c r="H684" s="27">
        <v>1541862.76</v>
      </c>
      <c r="J684" s="27">
        <v>-51696887.049999997</v>
      </c>
    </row>
    <row r="685" spans="1:10" ht="15.95" customHeight="1" x14ac:dyDescent="0.2">
      <c r="A685" s="33" t="s">
        <v>1080</v>
      </c>
      <c r="B685" s="369" t="s">
        <v>1081</v>
      </c>
      <c r="C685" s="370"/>
      <c r="D685" s="370"/>
      <c r="E685" s="27">
        <v>-50153955.340000004</v>
      </c>
      <c r="F685" s="27">
        <v>0</v>
      </c>
      <c r="H685" s="27">
        <v>1541829.9</v>
      </c>
      <c r="J685" s="27">
        <v>-51695785.240000002</v>
      </c>
    </row>
    <row r="686" spans="1:10" ht="15.95" customHeight="1" x14ac:dyDescent="0.2">
      <c r="A686" s="33" t="s">
        <v>1082</v>
      </c>
      <c r="B686" s="369" t="s">
        <v>1083</v>
      </c>
      <c r="C686" s="370"/>
      <c r="D686" s="370"/>
      <c r="E686" s="27">
        <v>-1068.95</v>
      </c>
      <c r="F686" s="27">
        <v>0</v>
      </c>
      <c r="H686" s="27">
        <v>32.86</v>
      </c>
      <c r="J686" s="27">
        <v>-1101.81</v>
      </c>
    </row>
    <row r="687" spans="1:10" ht="15.95" customHeight="1" x14ac:dyDescent="0.2">
      <c r="A687" s="33">
        <v>23</v>
      </c>
      <c r="B687" s="369" t="s">
        <v>1091</v>
      </c>
      <c r="C687" s="370"/>
      <c r="D687" s="370"/>
      <c r="E687" s="27">
        <v>-265786956.05000001</v>
      </c>
      <c r="F687" s="27">
        <v>75865385.939999998</v>
      </c>
      <c r="H687" s="27">
        <v>59612964.270000003</v>
      </c>
      <c r="J687" s="27">
        <v>-249534534.38</v>
      </c>
    </row>
    <row r="688" spans="1:10" ht="15.95" customHeight="1" x14ac:dyDescent="0.2">
      <c r="A688" s="33">
        <v>231</v>
      </c>
      <c r="B688" s="369" t="s">
        <v>1092</v>
      </c>
      <c r="C688" s="370"/>
      <c r="D688" s="370"/>
      <c r="E688" s="27">
        <v>-332778173.26999998</v>
      </c>
      <c r="F688" s="27">
        <v>59498876</v>
      </c>
      <c r="H688" s="27">
        <v>39415.83</v>
      </c>
      <c r="J688" s="27">
        <v>-273318713.10000002</v>
      </c>
    </row>
    <row r="689" spans="1:10" ht="15.95" customHeight="1" x14ac:dyDescent="0.2">
      <c r="A689" s="33">
        <v>23101</v>
      </c>
      <c r="B689" s="369" t="s">
        <v>1092</v>
      </c>
      <c r="C689" s="370"/>
      <c r="D689" s="370"/>
      <c r="E689" s="27">
        <v>-332778173.26999998</v>
      </c>
      <c r="F689" s="27">
        <v>59498876</v>
      </c>
      <c r="H689" s="27">
        <v>39415.83</v>
      </c>
      <c r="J689" s="27">
        <v>-273318713.10000002</v>
      </c>
    </row>
    <row r="690" spans="1:10" ht="15.95" customHeight="1" x14ac:dyDescent="0.2">
      <c r="A690" s="33">
        <v>2310101</v>
      </c>
      <c r="B690" s="369" t="s">
        <v>1092</v>
      </c>
      <c r="C690" s="370"/>
      <c r="D690" s="370"/>
      <c r="E690" s="27">
        <v>-332778173.26999998</v>
      </c>
      <c r="F690" s="27">
        <v>59498876</v>
      </c>
      <c r="H690" s="27">
        <v>39415.83</v>
      </c>
      <c r="J690" s="27">
        <v>-273318713.10000002</v>
      </c>
    </row>
    <row r="691" spans="1:10" ht="15.95" customHeight="1" x14ac:dyDescent="0.2">
      <c r="A691" s="33" t="s">
        <v>1093</v>
      </c>
      <c r="B691" s="369" t="s">
        <v>1081</v>
      </c>
      <c r="C691" s="370"/>
      <c r="D691" s="370"/>
      <c r="E691" s="27">
        <v>-332557573.77999997</v>
      </c>
      <c r="F691" s="27">
        <v>59459460.170000002</v>
      </c>
      <c r="H691" s="27">
        <v>39415.83</v>
      </c>
      <c r="J691" s="27">
        <v>-273137529.44</v>
      </c>
    </row>
    <row r="692" spans="1:10" ht="15.95" customHeight="1" x14ac:dyDescent="0.2">
      <c r="A692" s="33" t="s">
        <v>1094</v>
      </c>
      <c r="B692" s="369" t="s">
        <v>1083</v>
      </c>
      <c r="C692" s="370"/>
      <c r="D692" s="370"/>
      <c r="E692" s="27">
        <v>-220599.49</v>
      </c>
      <c r="F692" s="27">
        <v>39415.83</v>
      </c>
      <c r="H692" s="27">
        <v>0</v>
      </c>
      <c r="J692" s="27">
        <v>-181183.66</v>
      </c>
    </row>
    <row r="693" spans="1:10" ht="15.95" customHeight="1" x14ac:dyDescent="0.2">
      <c r="A693" s="33">
        <v>234</v>
      </c>
      <c r="B693" s="369" t="s">
        <v>1095</v>
      </c>
      <c r="C693" s="370"/>
      <c r="D693" s="370"/>
      <c r="E693" s="27">
        <v>2783577.44</v>
      </c>
      <c r="F693" s="27">
        <v>0</v>
      </c>
      <c r="H693" s="27">
        <v>0</v>
      </c>
      <c r="J693" s="27">
        <v>2783577.44</v>
      </c>
    </row>
    <row r="694" spans="1:10" ht="15.95" customHeight="1" x14ac:dyDescent="0.2">
      <c r="A694" s="33">
        <v>23401</v>
      </c>
      <c r="B694" s="369" t="s">
        <v>1096</v>
      </c>
      <c r="C694" s="370"/>
      <c r="D694" s="370"/>
      <c r="E694" s="27">
        <v>2783577.44</v>
      </c>
      <c r="F694" s="27">
        <v>0</v>
      </c>
      <c r="H694" s="27">
        <v>0</v>
      </c>
      <c r="J694" s="27">
        <v>2783577.44</v>
      </c>
    </row>
    <row r="695" spans="1:10" ht="15.95" customHeight="1" x14ac:dyDescent="0.2">
      <c r="A695" s="33">
        <v>2340101</v>
      </c>
      <c r="B695" s="369" t="s">
        <v>1096</v>
      </c>
      <c r="C695" s="370"/>
      <c r="D695" s="370"/>
      <c r="E695" s="27">
        <v>2783577.44</v>
      </c>
      <c r="F695" s="27">
        <v>0</v>
      </c>
      <c r="H695" s="27">
        <v>0</v>
      </c>
      <c r="J695" s="27">
        <v>2783577.44</v>
      </c>
    </row>
    <row r="696" spans="1:10" ht="15.95" customHeight="1" x14ac:dyDescent="0.2">
      <c r="A696" s="33" t="s">
        <v>1545</v>
      </c>
      <c r="B696" s="369" t="s">
        <v>1095</v>
      </c>
      <c r="C696" s="370"/>
      <c r="D696" s="370"/>
      <c r="E696" s="27">
        <v>2783577.44</v>
      </c>
      <c r="F696" s="27">
        <v>0</v>
      </c>
      <c r="H696" s="27">
        <v>0</v>
      </c>
      <c r="J696" s="27">
        <v>2783577.44</v>
      </c>
    </row>
    <row r="697" spans="1:10" ht="15.95" customHeight="1" x14ac:dyDescent="0.2">
      <c r="A697" s="33">
        <v>237</v>
      </c>
      <c r="B697" s="369" t="s">
        <v>1099</v>
      </c>
      <c r="C697" s="370"/>
      <c r="D697" s="370"/>
      <c r="E697" s="27">
        <v>-1378805.44</v>
      </c>
      <c r="F697" s="27">
        <v>0</v>
      </c>
      <c r="H697" s="27">
        <v>42737.06</v>
      </c>
      <c r="J697" s="27">
        <v>-1421542.5</v>
      </c>
    </row>
    <row r="698" spans="1:10" ht="15.95" customHeight="1" x14ac:dyDescent="0.2">
      <c r="A698" s="33">
        <v>23701</v>
      </c>
      <c r="B698" s="369" t="s">
        <v>1100</v>
      </c>
      <c r="C698" s="370"/>
      <c r="D698" s="370"/>
      <c r="E698" s="27">
        <v>-1378805.44</v>
      </c>
      <c r="F698" s="27">
        <v>0</v>
      </c>
      <c r="H698" s="27">
        <v>42737.06</v>
      </c>
      <c r="J698" s="27">
        <v>-1421542.5</v>
      </c>
    </row>
    <row r="699" spans="1:10" ht="15.95" customHeight="1" x14ac:dyDescent="0.2">
      <c r="A699" s="33">
        <v>2370101</v>
      </c>
      <c r="B699" s="369" t="s">
        <v>1100</v>
      </c>
      <c r="C699" s="370"/>
      <c r="D699" s="370"/>
      <c r="E699" s="27">
        <v>-1378805.44</v>
      </c>
      <c r="F699" s="27">
        <v>0</v>
      </c>
      <c r="H699" s="27">
        <v>42737.06</v>
      </c>
      <c r="J699" s="27">
        <v>-1421542.5</v>
      </c>
    </row>
    <row r="700" spans="1:10" ht="15.95" customHeight="1" x14ac:dyDescent="0.2">
      <c r="A700" s="33" t="s">
        <v>1101</v>
      </c>
      <c r="B700" s="369" t="s">
        <v>1102</v>
      </c>
      <c r="C700" s="370"/>
      <c r="D700" s="370"/>
      <c r="E700" s="27">
        <v>-1378805.44</v>
      </c>
      <c r="F700" s="27">
        <v>0</v>
      </c>
      <c r="H700" s="27">
        <v>42737.06</v>
      </c>
      <c r="J700" s="27">
        <v>-1421542.5</v>
      </c>
    </row>
    <row r="701" spans="1:10" ht="15.95" customHeight="1" x14ac:dyDescent="0.2">
      <c r="A701" s="33">
        <v>238</v>
      </c>
      <c r="B701" s="369" t="s">
        <v>1103</v>
      </c>
      <c r="C701" s="370"/>
      <c r="D701" s="370"/>
      <c r="E701" s="27">
        <v>-8546606.6600000001</v>
      </c>
      <c r="F701" s="27">
        <v>0</v>
      </c>
      <c r="H701" s="27">
        <v>0</v>
      </c>
      <c r="J701" s="27">
        <v>-8546606.6600000001</v>
      </c>
    </row>
    <row r="702" spans="1:10" ht="15.95" customHeight="1" x14ac:dyDescent="0.2">
      <c r="A702" s="33">
        <v>23801</v>
      </c>
      <c r="B702" s="369" t="s">
        <v>1103</v>
      </c>
      <c r="C702" s="370"/>
      <c r="D702" s="370"/>
      <c r="E702" s="27">
        <v>-8546606.6600000001</v>
      </c>
      <c r="F702" s="27">
        <v>0</v>
      </c>
      <c r="H702" s="27">
        <v>0</v>
      </c>
      <c r="J702" s="27">
        <v>-8546606.6600000001</v>
      </c>
    </row>
    <row r="703" spans="1:10" ht="15.95" customHeight="1" x14ac:dyDescent="0.2">
      <c r="A703" s="33">
        <v>2380101</v>
      </c>
      <c r="B703" s="369" t="s">
        <v>1103</v>
      </c>
      <c r="C703" s="370"/>
      <c r="D703" s="370"/>
      <c r="E703" s="27">
        <v>-8546606.6600000001</v>
      </c>
      <c r="F703" s="27">
        <v>0</v>
      </c>
      <c r="H703" s="27">
        <v>0</v>
      </c>
      <c r="J703" s="27">
        <v>-8546606.6600000001</v>
      </c>
    </row>
    <row r="704" spans="1:10" ht="15.95" customHeight="1" x14ac:dyDescent="0.2">
      <c r="A704" s="33" t="s">
        <v>1104</v>
      </c>
      <c r="B704" s="369" t="s">
        <v>1081</v>
      </c>
      <c r="C704" s="370"/>
      <c r="D704" s="370"/>
      <c r="E704" s="27">
        <v>-8546606.6600000001</v>
      </c>
      <c r="F704" s="27">
        <v>0</v>
      </c>
      <c r="H704" s="27">
        <v>0</v>
      </c>
      <c r="J704" s="27">
        <v>-8546606.6600000001</v>
      </c>
    </row>
    <row r="705" spans="1:10" ht="15.95" customHeight="1" x14ac:dyDescent="0.2">
      <c r="A705" s="33">
        <v>239</v>
      </c>
      <c r="B705" s="369" t="s">
        <v>1105</v>
      </c>
      <c r="C705" s="370"/>
      <c r="D705" s="370"/>
      <c r="E705" s="27">
        <v>74133051.879999995</v>
      </c>
      <c r="F705" s="27">
        <v>16366509.939999999</v>
      </c>
      <c r="H705" s="27">
        <v>59530811.380000003</v>
      </c>
      <c r="J705" s="27">
        <v>30968750.440000001</v>
      </c>
    </row>
    <row r="706" spans="1:10" ht="15.95" customHeight="1" x14ac:dyDescent="0.2">
      <c r="A706" s="33">
        <v>23901</v>
      </c>
      <c r="B706" s="369" t="s">
        <v>1105</v>
      </c>
      <c r="C706" s="370"/>
      <c r="D706" s="370"/>
      <c r="E706" s="27">
        <v>74133051.879999995</v>
      </c>
      <c r="F706" s="27">
        <v>16366509.939999999</v>
      </c>
      <c r="H706" s="27">
        <v>59530811.380000003</v>
      </c>
      <c r="J706" s="27">
        <v>30968750.440000001</v>
      </c>
    </row>
    <row r="707" spans="1:10" ht="15.95" customHeight="1" x14ac:dyDescent="0.2">
      <c r="A707" s="33">
        <v>2390101</v>
      </c>
      <c r="B707" s="369" t="s">
        <v>1106</v>
      </c>
      <c r="C707" s="370"/>
      <c r="D707" s="370"/>
      <c r="E707" s="27">
        <v>-71351.210000000006</v>
      </c>
      <c r="F707" s="27">
        <v>16366509.939999999</v>
      </c>
      <c r="H707" s="27">
        <v>0</v>
      </c>
      <c r="J707" s="27">
        <v>16295158.73</v>
      </c>
    </row>
    <row r="708" spans="1:10" ht="15.95" customHeight="1" x14ac:dyDescent="0.2">
      <c r="A708" s="33" t="s">
        <v>1107</v>
      </c>
      <c r="B708" s="369" t="s">
        <v>1108</v>
      </c>
      <c r="C708" s="370"/>
      <c r="D708" s="370"/>
      <c r="E708" s="27">
        <v>-71351.210000000006</v>
      </c>
      <c r="F708" s="27">
        <v>71351.210000000006</v>
      </c>
      <c r="H708" s="27">
        <v>0</v>
      </c>
      <c r="J708" s="27">
        <v>0</v>
      </c>
    </row>
    <row r="709" spans="1:10" ht="15.95" customHeight="1" x14ac:dyDescent="0.2">
      <c r="A709" s="33" t="s">
        <v>1109</v>
      </c>
      <c r="B709" s="369" t="s">
        <v>1110</v>
      </c>
      <c r="C709" s="370"/>
      <c r="D709" s="370"/>
      <c r="E709" s="27">
        <v>0</v>
      </c>
      <c r="F709" s="27">
        <v>16295158.73</v>
      </c>
      <c r="H709" s="27">
        <v>0</v>
      </c>
      <c r="J709" s="27">
        <v>16295158.73</v>
      </c>
    </row>
    <row r="710" spans="1:10" ht="15.95" customHeight="1" x14ac:dyDescent="0.2">
      <c r="A710" s="33">
        <v>2390102</v>
      </c>
      <c r="B710" s="369" t="s">
        <v>1111</v>
      </c>
      <c r="C710" s="370"/>
      <c r="D710" s="370"/>
      <c r="E710" s="27">
        <v>74204403.090000004</v>
      </c>
      <c r="F710" s="27">
        <v>0</v>
      </c>
      <c r="H710" s="27">
        <v>59530811.380000003</v>
      </c>
      <c r="J710" s="27">
        <v>14673591.710000001</v>
      </c>
    </row>
    <row r="711" spans="1:10" ht="15.95" customHeight="1" x14ac:dyDescent="0.2">
      <c r="A711" s="33" t="s">
        <v>1617</v>
      </c>
      <c r="B711" s="369" t="s">
        <v>1618</v>
      </c>
      <c r="C711" s="370"/>
      <c r="D711" s="370"/>
      <c r="E711" s="27">
        <v>18872365.699999999</v>
      </c>
      <c r="F711" s="27">
        <v>0</v>
      </c>
      <c r="H711" s="27">
        <v>18872365.699999999</v>
      </c>
      <c r="J711" s="27">
        <v>0</v>
      </c>
    </row>
    <row r="712" spans="1:10" ht="15.95" customHeight="1" x14ac:dyDescent="0.2">
      <c r="A712" s="33" t="s">
        <v>1619</v>
      </c>
      <c r="B712" s="369" t="s">
        <v>1620</v>
      </c>
      <c r="C712" s="370"/>
      <c r="D712" s="370"/>
      <c r="E712" s="27">
        <v>22694376.539999999</v>
      </c>
      <c r="F712" s="27">
        <v>0</v>
      </c>
      <c r="H712" s="27">
        <v>22694376.539999999</v>
      </c>
      <c r="J712" s="27">
        <v>0</v>
      </c>
    </row>
    <row r="713" spans="1:10" ht="15.95" customHeight="1" x14ac:dyDescent="0.2">
      <c r="A713" s="33" t="s">
        <v>1621</v>
      </c>
      <c r="B713" s="369" t="s">
        <v>1622</v>
      </c>
      <c r="C713" s="370"/>
      <c r="D713" s="370"/>
      <c r="E713" s="27">
        <v>17892717.93</v>
      </c>
      <c r="F713" s="27">
        <v>0</v>
      </c>
      <c r="H713" s="27">
        <v>17892717.93</v>
      </c>
      <c r="J713" s="27">
        <v>0</v>
      </c>
    </row>
    <row r="714" spans="1:10" ht="15.95" customHeight="1" x14ac:dyDescent="0.2">
      <c r="A714" s="33" t="s">
        <v>1112</v>
      </c>
      <c r="B714" s="369" t="s">
        <v>1113</v>
      </c>
      <c r="C714" s="370"/>
      <c r="D714" s="370"/>
      <c r="E714" s="27">
        <v>14744942.92</v>
      </c>
      <c r="F714" s="27">
        <v>0</v>
      </c>
      <c r="H714" s="27">
        <v>71351.210000000006</v>
      </c>
      <c r="J714" s="27">
        <v>14673591.710000001</v>
      </c>
    </row>
    <row r="715" spans="1:10" ht="15.95" customHeight="1" x14ac:dyDescent="0.2">
      <c r="A715" s="33">
        <v>24</v>
      </c>
      <c r="B715" s="369" t="s">
        <v>1119</v>
      </c>
      <c r="C715" s="370"/>
      <c r="D715" s="370"/>
      <c r="E715" s="27">
        <v>-1236717.49</v>
      </c>
      <c r="F715" s="27">
        <v>0</v>
      </c>
      <c r="H715" s="27">
        <v>0</v>
      </c>
      <c r="J715" s="27">
        <v>-1236717.49</v>
      </c>
    </row>
    <row r="716" spans="1:10" ht="15.95" customHeight="1" x14ac:dyDescent="0.2">
      <c r="A716" s="33">
        <v>241</v>
      </c>
      <c r="B716" s="369" t="s">
        <v>456</v>
      </c>
      <c r="C716" s="370"/>
      <c r="D716" s="370"/>
      <c r="E716" s="27">
        <v>-1236717.49</v>
      </c>
      <c r="F716" s="27">
        <v>0</v>
      </c>
      <c r="H716" s="27">
        <v>0</v>
      </c>
      <c r="J716" s="27">
        <v>-1236717.49</v>
      </c>
    </row>
    <row r="717" spans="1:10" ht="15.95" customHeight="1" x14ac:dyDescent="0.2">
      <c r="A717" s="33">
        <v>24101</v>
      </c>
      <c r="B717" s="369" t="s">
        <v>1120</v>
      </c>
      <c r="C717" s="370"/>
      <c r="D717" s="370"/>
      <c r="E717" s="27">
        <v>-1236717.49</v>
      </c>
      <c r="F717" s="27">
        <v>0</v>
      </c>
      <c r="H717" s="27">
        <v>0</v>
      </c>
      <c r="J717" s="27">
        <v>-1236717.49</v>
      </c>
    </row>
    <row r="718" spans="1:10" ht="15.95" customHeight="1" x14ac:dyDescent="0.2">
      <c r="A718" s="33">
        <v>2410101</v>
      </c>
      <c r="B718" s="369" t="s">
        <v>457</v>
      </c>
      <c r="C718" s="370"/>
      <c r="D718" s="370"/>
      <c r="E718" s="27">
        <v>-1236717.49</v>
      </c>
      <c r="F718" s="27">
        <v>0</v>
      </c>
      <c r="H718" s="27">
        <v>0</v>
      </c>
      <c r="J718" s="27">
        <v>-1236717.49</v>
      </c>
    </row>
    <row r="719" spans="1:10" ht="27.95" customHeight="1" x14ac:dyDescent="0.2">
      <c r="A719" s="33" t="s">
        <v>1121</v>
      </c>
      <c r="B719" s="369" t="s">
        <v>459</v>
      </c>
      <c r="C719" s="370"/>
      <c r="D719" s="370"/>
      <c r="E719" s="27">
        <v>-1236717.49</v>
      </c>
      <c r="F719" s="27">
        <v>0</v>
      </c>
      <c r="H719" s="27">
        <v>0</v>
      </c>
      <c r="J719" s="27">
        <v>-1236717.49</v>
      </c>
    </row>
    <row r="720" spans="1:10" ht="15.95" customHeight="1" x14ac:dyDescent="0.2">
      <c r="A720" s="401" t="s">
        <v>1441</v>
      </c>
      <c r="B720" s="370"/>
      <c r="C720" s="370"/>
      <c r="D720" s="102" t="s">
        <v>1744</v>
      </c>
      <c r="J720" s="103" t="s">
        <v>1745</v>
      </c>
    </row>
    <row r="721" spans="1:10" ht="20.100000000000001" customHeight="1" x14ac:dyDescent="0.2">
      <c r="A721" s="99" t="s">
        <v>1424</v>
      </c>
      <c r="J721" s="100" t="s">
        <v>1757</v>
      </c>
    </row>
    <row r="722" spans="1:10" ht="15.95" customHeight="1" x14ac:dyDescent="0.2">
      <c r="A722" s="33" t="s">
        <v>1739</v>
      </c>
      <c r="C722" s="33" t="s">
        <v>0</v>
      </c>
      <c r="J722" s="27" t="s">
        <v>1740</v>
      </c>
    </row>
    <row r="723" spans="1:10" ht="14.1" customHeight="1" x14ac:dyDescent="0.2">
      <c r="A723" s="101" t="s">
        <v>1741</v>
      </c>
      <c r="J723" s="27" t="s">
        <v>1742</v>
      </c>
    </row>
    <row r="724" spans="1:10" ht="15" customHeight="1" x14ac:dyDescent="0.2">
      <c r="A724" s="101" t="s">
        <v>1743</v>
      </c>
    </row>
    <row r="725" spans="1:10" ht="23.1" customHeight="1" x14ac:dyDescent="0.2">
      <c r="A725" s="23" t="s">
        <v>55</v>
      </c>
      <c r="B725" s="23" t="s">
        <v>56</v>
      </c>
      <c r="E725" s="24" t="s">
        <v>57</v>
      </c>
      <c r="F725" s="24" t="s">
        <v>58</v>
      </c>
      <c r="H725" s="24" t="s">
        <v>59</v>
      </c>
      <c r="J725" s="24" t="s">
        <v>60</v>
      </c>
    </row>
    <row r="726" spans="1:10" ht="15.95" customHeight="1" x14ac:dyDescent="0.2">
      <c r="A726" s="33">
        <v>3</v>
      </c>
      <c r="B726" s="369" t="s">
        <v>1122</v>
      </c>
      <c r="C726" s="370"/>
      <c r="D726" s="370"/>
      <c r="E726" s="27">
        <v>0</v>
      </c>
      <c r="F726" s="27">
        <v>5191117.3499999996</v>
      </c>
      <c r="H726" s="27">
        <v>31050814.399999999</v>
      </c>
      <c r="J726" s="27">
        <v>-25859697.050000001</v>
      </c>
    </row>
    <row r="727" spans="1:10" ht="15.95" customHeight="1" x14ac:dyDescent="0.2">
      <c r="A727" s="33">
        <v>31</v>
      </c>
      <c r="B727" s="369" t="s">
        <v>1123</v>
      </c>
      <c r="C727" s="370"/>
      <c r="D727" s="370"/>
      <c r="E727" s="27">
        <v>0</v>
      </c>
      <c r="F727" s="27">
        <v>0</v>
      </c>
      <c r="H727" s="27">
        <v>31050795.129999999</v>
      </c>
      <c r="J727" s="27">
        <v>-31050795.129999999</v>
      </c>
    </row>
    <row r="728" spans="1:10" ht="15.95" customHeight="1" x14ac:dyDescent="0.2">
      <c r="A728" s="33">
        <v>311</v>
      </c>
      <c r="B728" s="369" t="s">
        <v>1124</v>
      </c>
      <c r="C728" s="370"/>
      <c r="D728" s="370"/>
      <c r="E728" s="27">
        <v>0</v>
      </c>
      <c r="F728" s="27">
        <v>0</v>
      </c>
      <c r="H728" s="27">
        <v>31050795.129999999</v>
      </c>
      <c r="J728" s="27">
        <v>-31050795.129999999</v>
      </c>
    </row>
    <row r="729" spans="1:10" ht="15.95" customHeight="1" x14ac:dyDescent="0.2">
      <c r="A729" s="33">
        <v>31101</v>
      </c>
      <c r="B729" s="369" t="s">
        <v>1125</v>
      </c>
      <c r="C729" s="370"/>
      <c r="D729" s="370"/>
      <c r="E729" s="27">
        <v>0</v>
      </c>
      <c r="F729" s="27">
        <v>0</v>
      </c>
      <c r="H729" s="27">
        <v>27193776.600000001</v>
      </c>
      <c r="J729" s="27">
        <v>-27193776.600000001</v>
      </c>
    </row>
    <row r="730" spans="1:10" ht="15.95" customHeight="1" x14ac:dyDescent="0.2">
      <c r="A730" s="33">
        <v>3110101</v>
      </c>
      <c r="B730" s="369" t="s">
        <v>1126</v>
      </c>
      <c r="C730" s="370"/>
      <c r="D730" s="370"/>
      <c r="E730" s="27">
        <v>0</v>
      </c>
      <c r="F730" s="27">
        <v>0</v>
      </c>
      <c r="H730" s="27">
        <v>27193776.600000001</v>
      </c>
      <c r="J730" s="27">
        <v>-27193776.600000001</v>
      </c>
    </row>
    <row r="731" spans="1:10" ht="15.95" customHeight="1" x14ac:dyDescent="0.2">
      <c r="A731" s="33" t="s">
        <v>1127</v>
      </c>
      <c r="B731" s="369" t="s">
        <v>1128</v>
      </c>
      <c r="C731" s="370"/>
      <c r="D731" s="370"/>
      <c r="E731" s="27">
        <v>0</v>
      </c>
      <c r="F731" s="27">
        <v>0</v>
      </c>
      <c r="H731" s="27">
        <v>8330327.3300000001</v>
      </c>
      <c r="J731" s="27">
        <v>-8330327.3300000001</v>
      </c>
    </row>
    <row r="732" spans="1:10" ht="15.95" customHeight="1" x14ac:dyDescent="0.2">
      <c r="A732" s="33" t="s">
        <v>1129</v>
      </c>
      <c r="B732" s="369" t="s">
        <v>1130</v>
      </c>
      <c r="C732" s="370"/>
      <c r="D732" s="370"/>
      <c r="E732" s="27">
        <v>0</v>
      </c>
      <c r="F732" s="27">
        <v>0</v>
      </c>
      <c r="H732" s="27">
        <v>1426950.82</v>
      </c>
      <c r="J732" s="27">
        <v>-1426950.82</v>
      </c>
    </row>
    <row r="733" spans="1:10" ht="15.95" customHeight="1" x14ac:dyDescent="0.2">
      <c r="A733" s="33" t="s">
        <v>1131</v>
      </c>
      <c r="B733" s="369" t="s">
        <v>1132</v>
      </c>
      <c r="C733" s="370"/>
      <c r="D733" s="370"/>
      <c r="E733" s="27">
        <v>0</v>
      </c>
      <c r="F733" s="27">
        <v>0</v>
      </c>
      <c r="H733" s="27">
        <v>11426729.289999999</v>
      </c>
      <c r="J733" s="27">
        <v>-11426729.289999999</v>
      </c>
    </row>
    <row r="734" spans="1:10" ht="15.95" customHeight="1" x14ac:dyDescent="0.2">
      <c r="A734" s="33" t="s">
        <v>1133</v>
      </c>
      <c r="B734" s="369" t="s">
        <v>1134</v>
      </c>
      <c r="C734" s="370"/>
      <c r="D734" s="370"/>
      <c r="E734" s="27">
        <v>0</v>
      </c>
      <c r="F734" s="27">
        <v>0</v>
      </c>
      <c r="H734" s="27">
        <v>858835.55</v>
      </c>
      <c r="J734" s="27">
        <v>-858835.55</v>
      </c>
    </row>
    <row r="735" spans="1:10" ht="15.95" customHeight="1" x14ac:dyDescent="0.2">
      <c r="A735" s="33" t="s">
        <v>1135</v>
      </c>
      <c r="B735" s="369" t="s">
        <v>1136</v>
      </c>
      <c r="C735" s="370"/>
      <c r="D735" s="370"/>
      <c r="E735" s="27">
        <v>0</v>
      </c>
      <c r="F735" s="27">
        <v>0</v>
      </c>
      <c r="H735" s="27">
        <v>5150933.6100000003</v>
      </c>
      <c r="J735" s="27">
        <v>-5150933.6100000003</v>
      </c>
    </row>
    <row r="736" spans="1:10" ht="15.95" customHeight="1" x14ac:dyDescent="0.2">
      <c r="A736" s="33">
        <v>31103</v>
      </c>
      <c r="B736" s="369" t="s">
        <v>1137</v>
      </c>
      <c r="C736" s="370"/>
      <c r="D736" s="370"/>
      <c r="E736" s="27">
        <v>0</v>
      </c>
      <c r="F736" s="27">
        <v>0</v>
      </c>
      <c r="H736" s="27">
        <v>3857018.53</v>
      </c>
      <c r="J736" s="27">
        <v>-3857018.53</v>
      </c>
    </row>
    <row r="737" spans="1:10" ht="15.95" customHeight="1" x14ac:dyDescent="0.2">
      <c r="A737" s="33">
        <v>3110301</v>
      </c>
      <c r="B737" s="369" t="s">
        <v>1138</v>
      </c>
      <c r="C737" s="370"/>
      <c r="D737" s="370"/>
      <c r="E737" s="27">
        <v>0</v>
      </c>
      <c r="F737" s="27">
        <v>0</v>
      </c>
      <c r="H737" s="27">
        <v>3857018.53</v>
      </c>
      <c r="J737" s="27">
        <v>-3857018.53</v>
      </c>
    </row>
    <row r="738" spans="1:10" ht="15.95" customHeight="1" x14ac:dyDescent="0.2">
      <c r="A738" s="33" t="s">
        <v>1139</v>
      </c>
      <c r="B738" s="369" t="s">
        <v>1140</v>
      </c>
      <c r="C738" s="370"/>
      <c r="D738" s="370"/>
      <c r="E738" s="27">
        <v>0</v>
      </c>
      <c r="F738" s="27">
        <v>0</v>
      </c>
      <c r="H738" s="27">
        <v>3731806.03</v>
      </c>
      <c r="J738" s="27">
        <v>-3731806.03</v>
      </c>
    </row>
    <row r="739" spans="1:10" ht="15.95" customHeight="1" x14ac:dyDescent="0.2">
      <c r="A739" s="33" t="s">
        <v>1546</v>
      </c>
      <c r="B739" s="369" t="s">
        <v>1547</v>
      </c>
      <c r="C739" s="370"/>
      <c r="D739" s="370"/>
      <c r="E739" s="27">
        <v>0</v>
      </c>
      <c r="F739" s="27">
        <v>0</v>
      </c>
      <c r="H739" s="27">
        <v>125212.5</v>
      </c>
      <c r="J739" s="27">
        <v>-125212.5</v>
      </c>
    </row>
    <row r="740" spans="1:10" ht="15.95" customHeight="1" x14ac:dyDescent="0.2">
      <c r="A740" s="33">
        <v>32</v>
      </c>
      <c r="B740" s="369" t="s">
        <v>1141</v>
      </c>
      <c r="C740" s="370"/>
      <c r="D740" s="370"/>
      <c r="E740" s="27">
        <v>0</v>
      </c>
      <c r="F740" s="27">
        <v>5191117.3499999996</v>
      </c>
      <c r="H740" s="27">
        <v>19.27</v>
      </c>
      <c r="J740" s="27">
        <v>5191098.08</v>
      </c>
    </row>
    <row r="741" spans="1:10" ht="15.95" customHeight="1" x14ac:dyDescent="0.2">
      <c r="A741" s="33">
        <v>321</v>
      </c>
      <c r="B741" s="369" t="s">
        <v>1124</v>
      </c>
      <c r="C741" s="370"/>
      <c r="D741" s="370"/>
      <c r="E741" s="27">
        <v>0</v>
      </c>
      <c r="F741" s="27">
        <v>5191117.3499999996</v>
      </c>
      <c r="H741" s="27">
        <v>19.27</v>
      </c>
      <c r="J741" s="27">
        <v>5191098.08</v>
      </c>
    </row>
    <row r="742" spans="1:10" ht="15.95" customHeight="1" x14ac:dyDescent="0.2">
      <c r="A742" s="33">
        <v>32101</v>
      </c>
      <c r="B742" s="369" t="s">
        <v>1142</v>
      </c>
      <c r="C742" s="370"/>
      <c r="D742" s="370"/>
      <c r="E742" s="27">
        <v>0</v>
      </c>
      <c r="F742" s="27">
        <v>5191117.3499999996</v>
      </c>
      <c r="H742" s="27">
        <v>19.27</v>
      </c>
      <c r="J742" s="27">
        <v>5191098.08</v>
      </c>
    </row>
    <row r="743" spans="1:10" ht="15.95" customHeight="1" x14ac:dyDescent="0.2">
      <c r="A743" s="33">
        <v>3210101</v>
      </c>
      <c r="B743" s="369" t="s">
        <v>1143</v>
      </c>
      <c r="C743" s="370"/>
      <c r="D743" s="370"/>
      <c r="E743" s="27">
        <v>0</v>
      </c>
      <c r="F743" s="27">
        <v>3921795.55</v>
      </c>
      <c r="H743" s="27">
        <v>0</v>
      </c>
      <c r="J743" s="27">
        <v>3921795.55</v>
      </c>
    </row>
    <row r="744" spans="1:10" ht="15.95" customHeight="1" x14ac:dyDescent="0.2">
      <c r="A744" s="33" t="s">
        <v>1144</v>
      </c>
      <c r="B744" s="369" t="s">
        <v>1145</v>
      </c>
      <c r="C744" s="370"/>
      <c r="D744" s="370"/>
      <c r="E744" s="27">
        <v>0</v>
      </c>
      <c r="F744" s="27">
        <v>462401.46</v>
      </c>
      <c r="H744" s="27">
        <v>0</v>
      </c>
      <c r="J744" s="27">
        <v>462401.46</v>
      </c>
    </row>
    <row r="745" spans="1:10" ht="15.95" customHeight="1" x14ac:dyDescent="0.2">
      <c r="A745" s="33" t="s">
        <v>1146</v>
      </c>
      <c r="B745" s="369" t="s">
        <v>1147</v>
      </c>
      <c r="C745" s="370"/>
      <c r="D745" s="370"/>
      <c r="E745" s="27">
        <v>0</v>
      </c>
      <c r="F745" s="27">
        <v>2132354.7000000002</v>
      </c>
      <c r="H745" s="27">
        <v>0</v>
      </c>
      <c r="J745" s="27">
        <v>2132354.7000000002</v>
      </c>
    </row>
    <row r="746" spans="1:10" ht="15.95" customHeight="1" x14ac:dyDescent="0.2">
      <c r="A746" s="33" t="s">
        <v>1148</v>
      </c>
      <c r="B746" s="369" t="s">
        <v>1149</v>
      </c>
      <c r="C746" s="370"/>
      <c r="D746" s="370"/>
      <c r="E746" s="27">
        <v>0</v>
      </c>
      <c r="F746" s="27">
        <v>1327039.3899999999</v>
      </c>
      <c r="H746" s="27">
        <v>0</v>
      </c>
      <c r="J746" s="27">
        <v>1327039.3899999999</v>
      </c>
    </row>
    <row r="747" spans="1:10" ht="15.95" customHeight="1" x14ac:dyDescent="0.2">
      <c r="A747" s="33">
        <v>3210102</v>
      </c>
      <c r="B747" s="369" t="s">
        <v>1150</v>
      </c>
      <c r="C747" s="370"/>
      <c r="D747" s="370"/>
      <c r="E747" s="27">
        <v>0</v>
      </c>
      <c r="F747" s="27">
        <v>1269321.8</v>
      </c>
      <c r="H747" s="27">
        <v>19.27</v>
      </c>
      <c r="J747" s="27">
        <v>1269302.53</v>
      </c>
    </row>
    <row r="748" spans="1:10" ht="15.95" customHeight="1" x14ac:dyDescent="0.2">
      <c r="A748" s="33" t="s">
        <v>1151</v>
      </c>
      <c r="B748" s="369" t="s">
        <v>1152</v>
      </c>
      <c r="C748" s="370"/>
      <c r="D748" s="370"/>
      <c r="E748" s="27">
        <v>0</v>
      </c>
      <c r="F748" s="27">
        <v>440552.27</v>
      </c>
      <c r="H748" s="27">
        <v>0</v>
      </c>
      <c r="J748" s="27">
        <v>440552.27</v>
      </c>
    </row>
    <row r="749" spans="1:10" ht="15.95" customHeight="1" x14ac:dyDescent="0.2">
      <c r="A749" s="33" t="s">
        <v>1153</v>
      </c>
      <c r="B749" s="369" t="s">
        <v>1154</v>
      </c>
      <c r="C749" s="370"/>
      <c r="D749" s="370"/>
      <c r="E749" s="27">
        <v>0</v>
      </c>
      <c r="F749" s="27">
        <v>45010.68</v>
      </c>
      <c r="H749" s="27">
        <v>0</v>
      </c>
      <c r="J749" s="27">
        <v>45010.68</v>
      </c>
    </row>
    <row r="750" spans="1:10" ht="15.95" customHeight="1" x14ac:dyDescent="0.2">
      <c r="A750" s="33" t="s">
        <v>1155</v>
      </c>
      <c r="B750" s="369" t="s">
        <v>1156</v>
      </c>
      <c r="C750" s="370"/>
      <c r="D750" s="370"/>
      <c r="E750" s="27">
        <v>0</v>
      </c>
      <c r="F750" s="27">
        <v>425856.78</v>
      </c>
      <c r="H750" s="27">
        <v>0</v>
      </c>
      <c r="J750" s="27">
        <v>425856.78</v>
      </c>
    </row>
    <row r="751" spans="1:10" ht="15.95" customHeight="1" x14ac:dyDescent="0.2">
      <c r="A751" s="33" t="s">
        <v>1157</v>
      </c>
      <c r="B751" s="369" t="s">
        <v>1134</v>
      </c>
      <c r="C751" s="370"/>
      <c r="D751" s="370"/>
      <c r="E751" s="27">
        <v>0</v>
      </c>
      <c r="F751" s="27">
        <v>67275.179999999993</v>
      </c>
      <c r="H751" s="27">
        <v>19.27</v>
      </c>
      <c r="J751" s="27">
        <v>67255.91</v>
      </c>
    </row>
    <row r="752" spans="1:10" ht="15.95" customHeight="1" x14ac:dyDescent="0.2">
      <c r="A752" s="33" t="s">
        <v>1158</v>
      </c>
      <c r="B752" s="369" t="s">
        <v>1136</v>
      </c>
      <c r="C752" s="370"/>
      <c r="D752" s="370"/>
      <c r="E752" s="27">
        <v>0</v>
      </c>
      <c r="F752" s="27">
        <v>254935.89</v>
      </c>
      <c r="H752" s="27">
        <v>0</v>
      </c>
      <c r="J752" s="27">
        <v>254935.89</v>
      </c>
    </row>
    <row r="753" spans="1:10" ht="15.95" customHeight="1" x14ac:dyDescent="0.2">
      <c r="A753" s="33" t="s">
        <v>1623</v>
      </c>
      <c r="B753" s="369" t="s">
        <v>1547</v>
      </c>
      <c r="C753" s="370"/>
      <c r="D753" s="370"/>
      <c r="E753" s="27">
        <v>0</v>
      </c>
      <c r="F753" s="27">
        <v>35691</v>
      </c>
      <c r="H753" s="27">
        <v>0</v>
      </c>
      <c r="J753" s="27">
        <v>35691</v>
      </c>
    </row>
    <row r="754" spans="1:10" ht="15.95" customHeight="1" x14ac:dyDescent="0.2">
      <c r="A754" s="33">
        <v>4</v>
      </c>
      <c r="B754" s="369" t="s">
        <v>1160</v>
      </c>
      <c r="C754" s="370"/>
      <c r="D754" s="370"/>
      <c r="E754" s="27">
        <v>0</v>
      </c>
      <c r="F754" s="27">
        <v>22987294.079999998</v>
      </c>
      <c r="H754" s="27">
        <v>1878562.15</v>
      </c>
      <c r="J754" s="27">
        <v>21108731.93</v>
      </c>
    </row>
    <row r="755" spans="1:10" ht="15.95" customHeight="1" x14ac:dyDescent="0.2">
      <c r="A755" s="33">
        <v>41</v>
      </c>
      <c r="B755" s="369" t="s">
        <v>1161</v>
      </c>
      <c r="C755" s="370"/>
      <c r="D755" s="370"/>
      <c r="E755" s="27">
        <v>0</v>
      </c>
      <c r="F755" s="27">
        <v>22987294.079999998</v>
      </c>
      <c r="H755" s="27">
        <v>1878562.15</v>
      </c>
      <c r="J755" s="27">
        <v>21108731.93</v>
      </c>
    </row>
    <row r="756" spans="1:10" ht="15.95" customHeight="1" x14ac:dyDescent="0.2">
      <c r="A756" s="33">
        <v>411</v>
      </c>
      <c r="B756" s="369" t="s">
        <v>1161</v>
      </c>
      <c r="C756" s="370"/>
      <c r="D756" s="370"/>
      <c r="E756" s="27">
        <v>0</v>
      </c>
      <c r="F756" s="27">
        <v>22987294.079999998</v>
      </c>
      <c r="H756" s="27">
        <v>1878562.15</v>
      </c>
      <c r="J756" s="27">
        <v>21108731.93</v>
      </c>
    </row>
    <row r="757" spans="1:10" ht="15.95" customHeight="1" x14ac:dyDescent="0.2">
      <c r="A757" s="33">
        <v>41101</v>
      </c>
      <c r="B757" s="369" t="s">
        <v>1161</v>
      </c>
      <c r="C757" s="370"/>
      <c r="D757" s="370"/>
      <c r="E757" s="27">
        <v>0</v>
      </c>
      <c r="F757" s="27">
        <v>22987294.079999998</v>
      </c>
      <c r="H757" s="27">
        <v>1878562.15</v>
      </c>
      <c r="J757" s="27">
        <v>21108731.93</v>
      </c>
    </row>
    <row r="758" spans="1:10" ht="15.95" customHeight="1" x14ac:dyDescent="0.2">
      <c r="A758" s="33">
        <v>4110101</v>
      </c>
      <c r="B758" s="369" t="s">
        <v>1162</v>
      </c>
      <c r="C758" s="370"/>
      <c r="D758" s="370"/>
      <c r="E758" s="27">
        <v>0</v>
      </c>
      <c r="F758" s="27">
        <v>6832021.8799999999</v>
      </c>
      <c r="H758" s="27">
        <v>638906.67000000004</v>
      </c>
      <c r="J758" s="27">
        <v>6193115.21</v>
      </c>
    </row>
    <row r="759" spans="1:10" ht="15.95" customHeight="1" x14ac:dyDescent="0.2">
      <c r="A759" s="33" t="s">
        <v>1163</v>
      </c>
      <c r="B759" s="369" t="s">
        <v>1164</v>
      </c>
      <c r="C759" s="370"/>
      <c r="D759" s="370"/>
      <c r="E759" s="27">
        <v>0</v>
      </c>
      <c r="F759" s="27">
        <v>1613906.28</v>
      </c>
      <c r="H759" s="27">
        <v>51553.89</v>
      </c>
      <c r="J759" s="27">
        <v>1562352.39</v>
      </c>
    </row>
    <row r="760" spans="1:10" ht="15.95" customHeight="1" x14ac:dyDescent="0.2">
      <c r="A760" s="33" t="s">
        <v>1165</v>
      </c>
      <c r="B760" s="369" t="s">
        <v>1166</v>
      </c>
      <c r="C760" s="370"/>
      <c r="D760" s="370"/>
      <c r="E760" s="27">
        <v>0</v>
      </c>
      <c r="F760" s="27">
        <v>716199.97</v>
      </c>
      <c r="H760" s="27">
        <v>342.5</v>
      </c>
      <c r="J760" s="27">
        <v>715857.47</v>
      </c>
    </row>
    <row r="761" spans="1:10" ht="15.95" customHeight="1" x14ac:dyDescent="0.2">
      <c r="A761" s="33" t="s">
        <v>1167</v>
      </c>
      <c r="B761" s="369" t="s">
        <v>1168</v>
      </c>
      <c r="C761" s="370"/>
      <c r="D761" s="370"/>
      <c r="E761" s="27">
        <v>0</v>
      </c>
      <c r="F761" s="27">
        <v>304576.62</v>
      </c>
      <c r="H761" s="27">
        <v>62.46</v>
      </c>
      <c r="J761" s="27">
        <v>304514.15999999997</v>
      </c>
    </row>
    <row r="762" spans="1:10" ht="15.95" customHeight="1" x14ac:dyDescent="0.2">
      <c r="A762" s="33" t="s">
        <v>1169</v>
      </c>
      <c r="B762" s="369" t="s">
        <v>1170</v>
      </c>
      <c r="C762" s="370"/>
      <c r="D762" s="370"/>
      <c r="E762" s="27">
        <v>0</v>
      </c>
      <c r="F762" s="27">
        <v>191580.76</v>
      </c>
      <c r="H762" s="27">
        <v>40.520000000000003</v>
      </c>
      <c r="J762" s="27">
        <v>191540.24</v>
      </c>
    </row>
    <row r="763" spans="1:10" ht="15.95" customHeight="1" x14ac:dyDescent="0.2">
      <c r="A763" s="33" t="s">
        <v>1171</v>
      </c>
      <c r="B763" s="369" t="s">
        <v>1172</v>
      </c>
      <c r="C763" s="370"/>
      <c r="D763" s="370"/>
      <c r="E763" s="27">
        <v>0</v>
      </c>
      <c r="F763" s="27">
        <v>500198.99</v>
      </c>
      <c r="H763" s="27">
        <v>238540.52</v>
      </c>
      <c r="J763" s="27">
        <v>261658.47</v>
      </c>
    </row>
    <row r="764" spans="1:10" ht="15.95" customHeight="1" x14ac:dyDescent="0.2">
      <c r="A764" s="33" t="s">
        <v>1173</v>
      </c>
      <c r="B764" s="369" t="s">
        <v>1174</v>
      </c>
      <c r="C764" s="370"/>
      <c r="D764" s="370"/>
      <c r="E764" s="27">
        <v>0</v>
      </c>
      <c r="F764" s="27">
        <v>287950.31</v>
      </c>
      <c r="H764" s="27">
        <v>11477.06</v>
      </c>
      <c r="J764" s="27">
        <v>276473.25</v>
      </c>
    </row>
    <row r="765" spans="1:10" ht="15.95" customHeight="1" x14ac:dyDescent="0.2">
      <c r="A765" s="33" t="s">
        <v>1175</v>
      </c>
      <c r="B765" s="369" t="s">
        <v>1176</v>
      </c>
      <c r="C765" s="370"/>
      <c r="D765" s="370"/>
      <c r="E765" s="27">
        <v>0</v>
      </c>
      <c r="F765" s="27">
        <v>1206747.02</v>
      </c>
      <c r="H765" s="27">
        <v>56550.35</v>
      </c>
      <c r="J765" s="27">
        <v>1150196.67</v>
      </c>
    </row>
    <row r="766" spans="1:10" ht="15.95" customHeight="1" x14ac:dyDescent="0.2">
      <c r="A766" s="33" t="s">
        <v>1177</v>
      </c>
      <c r="B766" s="369" t="s">
        <v>1178</v>
      </c>
      <c r="C766" s="370"/>
      <c r="D766" s="370"/>
      <c r="E766" s="27">
        <v>0</v>
      </c>
      <c r="F766" s="27">
        <v>333097.78999999998</v>
      </c>
      <c r="H766" s="27">
        <v>16846.2</v>
      </c>
      <c r="J766" s="27">
        <v>316251.59000000003</v>
      </c>
    </row>
    <row r="767" spans="1:10" ht="15.95" customHeight="1" x14ac:dyDescent="0.2">
      <c r="A767" s="33" t="s">
        <v>1179</v>
      </c>
      <c r="B767" s="369" t="s">
        <v>1180</v>
      </c>
      <c r="C767" s="370"/>
      <c r="D767" s="370"/>
      <c r="E767" s="27">
        <v>0</v>
      </c>
      <c r="F767" s="27">
        <v>318538.13</v>
      </c>
      <c r="H767" s="27">
        <v>71043.63</v>
      </c>
      <c r="J767" s="27">
        <v>247494.5</v>
      </c>
    </row>
    <row r="768" spans="1:10" ht="15.95" customHeight="1" x14ac:dyDescent="0.2">
      <c r="A768" s="33" t="s">
        <v>1181</v>
      </c>
      <c r="B768" s="369" t="s">
        <v>1182</v>
      </c>
      <c r="C768" s="370"/>
      <c r="D768" s="370"/>
      <c r="E768" s="27">
        <v>0</v>
      </c>
      <c r="F768" s="27">
        <v>353734.34</v>
      </c>
      <c r="H768" s="27">
        <v>151926.53</v>
      </c>
      <c r="J768" s="27">
        <v>201807.81</v>
      </c>
    </row>
    <row r="769" spans="1:10" ht="15.95" customHeight="1" x14ac:dyDescent="0.2">
      <c r="A769" s="33" t="s">
        <v>1183</v>
      </c>
      <c r="B769" s="369" t="s">
        <v>1184</v>
      </c>
      <c r="C769" s="370"/>
      <c r="D769" s="370"/>
      <c r="E769" s="27">
        <v>0</v>
      </c>
      <c r="F769" s="27">
        <v>11451.8</v>
      </c>
      <c r="H769" s="27">
        <v>3947.24</v>
      </c>
      <c r="J769" s="27">
        <v>7504.56</v>
      </c>
    </row>
    <row r="770" spans="1:10" ht="15.95" customHeight="1" x14ac:dyDescent="0.2">
      <c r="A770" s="33" t="s">
        <v>1185</v>
      </c>
      <c r="B770" s="369" t="s">
        <v>1186</v>
      </c>
      <c r="C770" s="370"/>
      <c r="D770" s="370"/>
      <c r="E770" s="27">
        <v>0</v>
      </c>
      <c r="F770" s="27">
        <v>356134.94</v>
      </c>
      <c r="H770" s="27">
        <v>17190.12</v>
      </c>
      <c r="J770" s="27">
        <v>338944.82</v>
      </c>
    </row>
    <row r="771" spans="1:10" ht="15.95" customHeight="1" x14ac:dyDescent="0.2">
      <c r="A771" s="33" t="s">
        <v>1187</v>
      </c>
      <c r="B771" s="369" t="s">
        <v>1188</v>
      </c>
      <c r="C771" s="370"/>
      <c r="D771" s="370"/>
      <c r="E771" s="27">
        <v>0</v>
      </c>
      <c r="F771" s="27">
        <v>155988.76</v>
      </c>
      <c r="H771" s="27">
        <v>6160.28</v>
      </c>
      <c r="J771" s="27">
        <v>149828.48000000001</v>
      </c>
    </row>
    <row r="772" spans="1:10" ht="15.95" customHeight="1" x14ac:dyDescent="0.2">
      <c r="A772" s="33" t="s">
        <v>1189</v>
      </c>
      <c r="B772" s="369" t="s">
        <v>1190</v>
      </c>
      <c r="C772" s="370"/>
      <c r="D772" s="370"/>
      <c r="E772" s="27">
        <v>0</v>
      </c>
      <c r="F772" s="27">
        <v>5205.04</v>
      </c>
      <c r="H772" s="27">
        <v>0</v>
      </c>
      <c r="J772" s="27">
        <v>5205.04</v>
      </c>
    </row>
    <row r="773" spans="1:10" ht="15.95" customHeight="1" x14ac:dyDescent="0.2">
      <c r="A773" s="33" t="s">
        <v>1191</v>
      </c>
      <c r="B773" s="369" t="s">
        <v>1192</v>
      </c>
      <c r="C773" s="370"/>
      <c r="D773" s="370"/>
      <c r="E773" s="27">
        <v>0</v>
      </c>
      <c r="F773" s="27">
        <v>6570.62</v>
      </c>
      <c r="H773" s="27">
        <v>0</v>
      </c>
      <c r="J773" s="27">
        <v>6570.62</v>
      </c>
    </row>
    <row r="774" spans="1:10" ht="15.95" customHeight="1" x14ac:dyDescent="0.2">
      <c r="A774" s="33" t="s">
        <v>1193</v>
      </c>
      <c r="B774" s="369" t="s">
        <v>1194</v>
      </c>
      <c r="C774" s="370"/>
      <c r="D774" s="370"/>
      <c r="E774" s="27">
        <v>0</v>
      </c>
      <c r="F774" s="27">
        <v>66475.5</v>
      </c>
      <c r="H774" s="27">
        <v>15.01</v>
      </c>
      <c r="J774" s="27">
        <v>66460.490000000005</v>
      </c>
    </row>
    <row r="775" spans="1:10" ht="15.95" customHeight="1" x14ac:dyDescent="0.2">
      <c r="A775" s="33" t="s">
        <v>1195</v>
      </c>
      <c r="B775" s="369" t="s">
        <v>1196</v>
      </c>
      <c r="C775" s="370"/>
      <c r="D775" s="370"/>
      <c r="E775" s="27">
        <v>0</v>
      </c>
      <c r="F775" s="27">
        <v>9966.4599999999991</v>
      </c>
      <c r="H775" s="27">
        <v>3611.37</v>
      </c>
      <c r="J775" s="27">
        <v>6355.09</v>
      </c>
    </row>
    <row r="776" spans="1:10" ht="15.95" customHeight="1" x14ac:dyDescent="0.2">
      <c r="A776" s="33" t="s">
        <v>1197</v>
      </c>
      <c r="B776" s="369" t="s">
        <v>1198</v>
      </c>
      <c r="C776" s="370"/>
      <c r="D776" s="370"/>
      <c r="E776" s="27">
        <v>0</v>
      </c>
      <c r="F776" s="27">
        <v>255798.35</v>
      </c>
      <c r="H776" s="27">
        <v>9598.99</v>
      </c>
      <c r="J776" s="27">
        <v>246199.36</v>
      </c>
    </row>
    <row r="777" spans="1:10" ht="15.95" customHeight="1" x14ac:dyDescent="0.2">
      <c r="A777" s="33" t="s">
        <v>1199</v>
      </c>
      <c r="B777" s="369" t="s">
        <v>1200</v>
      </c>
      <c r="C777" s="370"/>
      <c r="D777" s="370"/>
      <c r="E777" s="27">
        <v>0</v>
      </c>
      <c r="F777" s="27">
        <v>137900.20000000001</v>
      </c>
      <c r="H777" s="27">
        <v>0</v>
      </c>
      <c r="J777" s="27">
        <v>137900.20000000001</v>
      </c>
    </row>
    <row r="778" spans="1:10" ht="15.95" customHeight="1" x14ac:dyDescent="0.2">
      <c r="A778" s="33">
        <v>4110102</v>
      </c>
      <c r="B778" s="369" t="s">
        <v>1548</v>
      </c>
      <c r="C778" s="370"/>
      <c r="D778" s="370"/>
      <c r="E778" s="27">
        <v>0</v>
      </c>
      <c r="F778" s="27">
        <v>12208</v>
      </c>
      <c r="H778" s="27">
        <v>0</v>
      </c>
      <c r="J778" s="27">
        <v>12208</v>
      </c>
    </row>
    <row r="779" spans="1:10" ht="27.95" customHeight="1" x14ac:dyDescent="0.2">
      <c r="A779" s="33" t="s">
        <v>1624</v>
      </c>
      <c r="B779" s="369" t="s">
        <v>1203</v>
      </c>
      <c r="C779" s="370"/>
      <c r="D779" s="370"/>
      <c r="E779" s="27">
        <v>0</v>
      </c>
      <c r="F779" s="27">
        <v>12118</v>
      </c>
      <c r="H779" s="27">
        <v>0</v>
      </c>
      <c r="J779" s="27">
        <v>12118</v>
      </c>
    </row>
    <row r="780" spans="1:10" ht="15.95" customHeight="1" x14ac:dyDescent="0.2">
      <c r="A780" s="401" t="s">
        <v>1441</v>
      </c>
      <c r="B780" s="370"/>
      <c r="C780" s="370"/>
      <c r="D780" s="102" t="s">
        <v>1744</v>
      </c>
      <c r="J780" s="103" t="s">
        <v>1745</v>
      </c>
    </row>
    <row r="781" spans="1:10" ht="20.100000000000001" customHeight="1" x14ac:dyDescent="0.2">
      <c r="A781" s="99" t="s">
        <v>1424</v>
      </c>
      <c r="J781" s="100" t="s">
        <v>1758</v>
      </c>
    </row>
    <row r="782" spans="1:10" ht="15.95" customHeight="1" x14ac:dyDescent="0.2">
      <c r="A782" s="33" t="s">
        <v>1739</v>
      </c>
      <c r="C782" s="33" t="s">
        <v>0</v>
      </c>
      <c r="J782" s="27" t="s">
        <v>1740</v>
      </c>
    </row>
    <row r="783" spans="1:10" ht="14.1" customHeight="1" x14ac:dyDescent="0.2">
      <c r="A783" s="101" t="s">
        <v>1741</v>
      </c>
      <c r="J783" s="27" t="s">
        <v>1742</v>
      </c>
    </row>
    <row r="784" spans="1:10" ht="15" customHeight="1" x14ac:dyDescent="0.2">
      <c r="A784" s="101" t="s">
        <v>1743</v>
      </c>
    </row>
    <row r="785" spans="1:10" ht="23.1" customHeight="1" x14ac:dyDescent="0.2">
      <c r="A785" s="23" t="s">
        <v>55</v>
      </c>
      <c r="B785" s="23" t="s">
        <v>56</v>
      </c>
      <c r="E785" s="24" t="s">
        <v>57</v>
      </c>
      <c r="F785" s="24" t="s">
        <v>58</v>
      </c>
      <c r="H785" s="24" t="s">
        <v>59</v>
      </c>
      <c r="J785" s="24" t="s">
        <v>60</v>
      </c>
    </row>
    <row r="786" spans="1:10" ht="15.95" customHeight="1" x14ac:dyDescent="0.2">
      <c r="A786" s="33" t="s">
        <v>1549</v>
      </c>
      <c r="B786" s="369" t="s">
        <v>1300</v>
      </c>
      <c r="C786" s="370"/>
      <c r="D786" s="370"/>
      <c r="E786" s="27">
        <v>0</v>
      </c>
      <c r="F786" s="27">
        <v>90</v>
      </c>
      <c r="H786" s="27">
        <v>0</v>
      </c>
      <c r="J786" s="27">
        <v>90</v>
      </c>
    </row>
    <row r="787" spans="1:10" ht="15.95" customHeight="1" x14ac:dyDescent="0.2">
      <c r="A787" s="33">
        <v>4110103</v>
      </c>
      <c r="B787" s="369" t="s">
        <v>1201</v>
      </c>
      <c r="C787" s="370"/>
      <c r="D787" s="370"/>
      <c r="E787" s="27">
        <v>0</v>
      </c>
      <c r="F787" s="27">
        <v>5037084.8600000003</v>
      </c>
      <c r="H787" s="27">
        <v>761272.08</v>
      </c>
      <c r="J787" s="27">
        <v>4275812.78</v>
      </c>
    </row>
    <row r="788" spans="1:10" ht="15.95" customHeight="1" x14ac:dyDescent="0.2">
      <c r="A788" s="33" t="s">
        <v>1202</v>
      </c>
      <c r="B788" s="369" t="s">
        <v>1203</v>
      </c>
      <c r="C788" s="370"/>
      <c r="D788" s="370"/>
      <c r="E788" s="27">
        <v>0</v>
      </c>
      <c r="F788" s="27">
        <v>8745</v>
      </c>
      <c r="H788" s="27">
        <v>0</v>
      </c>
      <c r="J788" s="27">
        <v>8745</v>
      </c>
    </row>
    <row r="789" spans="1:10" ht="15.95" customHeight="1" x14ac:dyDescent="0.2">
      <c r="A789" s="33" t="s">
        <v>1204</v>
      </c>
      <c r="B789" s="369" t="s">
        <v>1205</v>
      </c>
      <c r="C789" s="370"/>
      <c r="D789" s="370"/>
      <c r="E789" s="27">
        <v>0</v>
      </c>
      <c r="F789" s="27">
        <v>133159.82</v>
      </c>
      <c r="H789" s="27">
        <v>0</v>
      </c>
      <c r="J789" s="27">
        <v>133159.82</v>
      </c>
    </row>
    <row r="790" spans="1:10" ht="15.95" customHeight="1" x14ac:dyDescent="0.2">
      <c r="A790" s="33" t="s">
        <v>1206</v>
      </c>
      <c r="B790" s="369" t="s">
        <v>1207</v>
      </c>
      <c r="C790" s="370"/>
      <c r="D790" s="370"/>
      <c r="E790" s="27">
        <v>0</v>
      </c>
      <c r="F790" s="27">
        <v>650164.67000000004</v>
      </c>
      <c r="H790" s="27">
        <v>0</v>
      </c>
      <c r="J790" s="27">
        <v>650164.67000000004</v>
      </c>
    </row>
    <row r="791" spans="1:10" ht="15.95" customHeight="1" x14ac:dyDescent="0.2">
      <c r="A791" s="33" t="s">
        <v>1550</v>
      </c>
      <c r="B791" s="369" t="s">
        <v>1551</v>
      </c>
      <c r="C791" s="370"/>
      <c r="D791" s="370"/>
      <c r="E791" s="27">
        <v>0</v>
      </c>
      <c r="F791" s="27">
        <v>441.79</v>
      </c>
      <c r="H791" s="27">
        <v>0</v>
      </c>
      <c r="J791" s="27">
        <v>441.79</v>
      </c>
    </row>
    <row r="792" spans="1:10" ht="15.95" customHeight="1" x14ac:dyDescent="0.2">
      <c r="A792" s="33" t="s">
        <v>1208</v>
      </c>
      <c r="B792" s="369" t="s">
        <v>1209</v>
      </c>
      <c r="C792" s="370"/>
      <c r="D792" s="370"/>
      <c r="E792" s="27">
        <v>0</v>
      </c>
      <c r="F792" s="27">
        <v>1335986.6200000001</v>
      </c>
      <c r="H792" s="27">
        <v>9500</v>
      </c>
      <c r="J792" s="27">
        <v>1326486.6200000001</v>
      </c>
    </row>
    <row r="793" spans="1:10" ht="15.95" customHeight="1" x14ac:dyDescent="0.2">
      <c r="A793" s="33" t="s">
        <v>1552</v>
      </c>
      <c r="B793" s="369" t="s">
        <v>1306</v>
      </c>
      <c r="C793" s="370"/>
      <c r="D793" s="370"/>
      <c r="E793" s="27">
        <v>0</v>
      </c>
      <c r="F793" s="27">
        <v>743834.87</v>
      </c>
      <c r="H793" s="27">
        <v>743834.87</v>
      </c>
      <c r="J793" s="27">
        <v>0</v>
      </c>
    </row>
    <row r="794" spans="1:10" ht="15.95" customHeight="1" x14ac:dyDescent="0.2">
      <c r="A794" s="33" t="s">
        <v>1553</v>
      </c>
      <c r="B794" s="369" t="s">
        <v>1554</v>
      </c>
      <c r="C794" s="370"/>
      <c r="D794" s="370"/>
      <c r="E794" s="27">
        <v>0</v>
      </c>
      <c r="F794" s="27">
        <v>89400</v>
      </c>
      <c r="H794" s="27">
        <v>0</v>
      </c>
      <c r="J794" s="27">
        <v>89400</v>
      </c>
    </row>
    <row r="795" spans="1:10" ht="15.95" customHeight="1" x14ac:dyDescent="0.2">
      <c r="A795" s="33" t="s">
        <v>1214</v>
      </c>
      <c r="B795" s="369" t="s">
        <v>1215</v>
      </c>
      <c r="C795" s="370"/>
      <c r="D795" s="370"/>
      <c r="E795" s="27">
        <v>0</v>
      </c>
      <c r="F795" s="27">
        <v>36562.11</v>
      </c>
      <c r="H795" s="27">
        <v>7937.21</v>
      </c>
      <c r="J795" s="27">
        <v>28624.9</v>
      </c>
    </row>
    <row r="796" spans="1:10" ht="15.95" customHeight="1" x14ac:dyDescent="0.2">
      <c r="A796" s="33" t="s">
        <v>1216</v>
      </c>
      <c r="B796" s="369" t="s">
        <v>1217</v>
      </c>
      <c r="C796" s="370"/>
      <c r="D796" s="370"/>
      <c r="E796" s="27">
        <v>0</v>
      </c>
      <c r="F796" s="27">
        <v>448500</v>
      </c>
      <c r="H796" s="27">
        <v>0</v>
      </c>
      <c r="J796" s="27">
        <v>448500</v>
      </c>
    </row>
    <row r="797" spans="1:10" ht="15.95" customHeight="1" x14ac:dyDescent="0.2">
      <c r="A797" s="33" t="s">
        <v>1218</v>
      </c>
      <c r="B797" s="369" t="s">
        <v>1219</v>
      </c>
      <c r="C797" s="370"/>
      <c r="D797" s="370"/>
      <c r="E797" s="27">
        <v>0</v>
      </c>
      <c r="F797" s="27">
        <v>1214941.98</v>
      </c>
      <c r="H797" s="27">
        <v>0</v>
      </c>
      <c r="J797" s="27">
        <v>1214941.98</v>
      </c>
    </row>
    <row r="798" spans="1:10" ht="15.95" customHeight="1" x14ac:dyDescent="0.2">
      <c r="A798" s="33" t="s">
        <v>1220</v>
      </c>
      <c r="B798" s="369" t="s">
        <v>1221</v>
      </c>
      <c r="C798" s="370"/>
      <c r="D798" s="370"/>
      <c r="E798" s="27">
        <v>0</v>
      </c>
      <c r="F798" s="27">
        <v>375348</v>
      </c>
      <c r="H798" s="27">
        <v>0</v>
      </c>
      <c r="J798" s="27">
        <v>375348</v>
      </c>
    </row>
    <row r="799" spans="1:10" ht="15.95" customHeight="1" x14ac:dyDescent="0.2">
      <c r="A799" s="33">
        <v>4110104</v>
      </c>
      <c r="B799" s="369" t="s">
        <v>1222</v>
      </c>
      <c r="C799" s="370"/>
      <c r="D799" s="370"/>
      <c r="E799" s="27">
        <v>0</v>
      </c>
      <c r="F799" s="27">
        <v>17139.21</v>
      </c>
      <c r="H799" s="27">
        <v>0</v>
      </c>
      <c r="J799" s="27">
        <v>17139.21</v>
      </c>
    </row>
    <row r="800" spans="1:10" ht="15.95" customHeight="1" x14ac:dyDescent="0.2">
      <c r="A800" s="33" t="s">
        <v>1555</v>
      </c>
      <c r="B800" s="369" t="s">
        <v>188</v>
      </c>
      <c r="C800" s="370"/>
      <c r="D800" s="370"/>
      <c r="E800" s="27">
        <v>0</v>
      </c>
      <c r="F800" s="27">
        <v>636.54</v>
      </c>
      <c r="H800" s="27">
        <v>0</v>
      </c>
      <c r="J800" s="27">
        <v>636.54</v>
      </c>
    </row>
    <row r="801" spans="1:10" ht="15.95" customHeight="1" x14ac:dyDescent="0.2">
      <c r="A801" s="33" t="s">
        <v>1225</v>
      </c>
      <c r="B801" s="369" t="s">
        <v>182</v>
      </c>
      <c r="C801" s="370"/>
      <c r="D801" s="370"/>
      <c r="E801" s="27">
        <v>0</v>
      </c>
      <c r="F801" s="27">
        <v>2746.15</v>
      </c>
      <c r="H801" s="27">
        <v>0</v>
      </c>
      <c r="J801" s="27">
        <v>2746.15</v>
      </c>
    </row>
    <row r="802" spans="1:10" ht="15.95" customHeight="1" x14ac:dyDescent="0.2">
      <c r="A802" s="33" t="s">
        <v>1228</v>
      </c>
      <c r="B802" s="369" t="s">
        <v>194</v>
      </c>
      <c r="C802" s="370"/>
      <c r="D802" s="370"/>
      <c r="E802" s="27">
        <v>0</v>
      </c>
      <c r="F802" s="27">
        <v>9903.84</v>
      </c>
      <c r="H802" s="27">
        <v>0</v>
      </c>
      <c r="J802" s="27">
        <v>9903.84</v>
      </c>
    </row>
    <row r="803" spans="1:10" ht="15.95" customHeight="1" x14ac:dyDescent="0.2">
      <c r="A803" s="33" t="s">
        <v>1229</v>
      </c>
      <c r="B803" s="369" t="s">
        <v>1230</v>
      </c>
      <c r="C803" s="370"/>
      <c r="D803" s="370"/>
      <c r="E803" s="27">
        <v>0</v>
      </c>
      <c r="F803" s="27">
        <v>582</v>
      </c>
      <c r="H803" s="27">
        <v>0</v>
      </c>
      <c r="J803" s="27">
        <v>582</v>
      </c>
    </row>
    <row r="804" spans="1:10" ht="15.95" customHeight="1" x14ac:dyDescent="0.2">
      <c r="A804" s="33" t="s">
        <v>1233</v>
      </c>
      <c r="B804" s="369" t="s">
        <v>1234</v>
      </c>
      <c r="C804" s="370"/>
      <c r="D804" s="370"/>
      <c r="E804" s="27">
        <v>0</v>
      </c>
      <c r="F804" s="27">
        <v>2540.69</v>
      </c>
      <c r="H804" s="27">
        <v>0</v>
      </c>
      <c r="J804" s="27">
        <v>2540.69</v>
      </c>
    </row>
    <row r="805" spans="1:10" ht="15.95" customHeight="1" x14ac:dyDescent="0.2">
      <c r="A805" s="33" t="s">
        <v>1235</v>
      </c>
      <c r="B805" s="369" t="s">
        <v>1236</v>
      </c>
      <c r="C805" s="370"/>
      <c r="D805" s="370"/>
      <c r="E805" s="27">
        <v>0</v>
      </c>
      <c r="F805" s="27">
        <v>729.99</v>
      </c>
      <c r="H805" s="27">
        <v>0</v>
      </c>
      <c r="J805" s="27">
        <v>729.99</v>
      </c>
    </row>
    <row r="806" spans="1:10" ht="15.95" customHeight="1" x14ac:dyDescent="0.2">
      <c r="A806" s="33">
        <v>4110105</v>
      </c>
      <c r="B806" s="369" t="s">
        <v>1237</v>
      </c>
      <c r="C806" s="370"/>
      <c r="D806" s="370"/>
      <c r="E806" s="27">
        <v>0</v>
      </c>
      <c r="F806" s="27">
        <v>11088840.130000001</v>
      </c>
      <c r="H806" s="27">
        <v>478383.4</v>
      </c>
      <c r="J806" s="27">
        <v>10610456.73</v>
      </c>
    </row>
    <row r="807" spans="1:10" ht="15.95" customHeight="1" x14ac:dyDescent="0.2">
      <c r="A807" s="33" t="s">
        <v>1238</v>
      </c>
      <c r="B807" s="369" t="s">
        <v>1239</v>
      </c>
      <c r="C807" s="370"/>
      <c r="D807" s="370"/>
      <c r="E807" s="27">
        <v>0</v>
      </c>
      <c r="F807" s="27">
        <v>184751.07</v>
      </c>
      <c r="H807" s="27">
        <v>0</v>
      </c>
      <c r="J807" s="27">
        <v>184751.07</v>
      </c>
    </row>
    <row r="808" spans="1:10" ht="15.95" customHeight="1" x14ac:dyDescent="0.2">
      <c r="A808" s="33" t="s">
        <v>1240</v>
      </c>
      <c r="B808" s="369" t="s">
        <v>1241</v>
      </c>
      <c r="C808" s="370"/>
      <c r="D808" s="370"/>
      <c r="E808" s="27">
        <v>0</v>
      </c>
      <c r="F808" s="27">
        <v>2023707.45</v>
      </c>
      <c r="H808" s="27">
        <v>93144.7</v>
      </c>
      <c r="J808" s="27">
        <v>1930562.75</v>
      </c>
    </row>
    <row r="809" spans="1:10" ht="15.95" customHeight="1" x14ac:dyDescent="0.2">
      <c r="A809" s="33" t="s">
        <v>1242</v>
      </c>
      <c r="B809" s="369" t="s">
        <v>1243</v>
      </c>
      <c r="C809" s="370"/>
      <c r="D809" s="370"/>
      <c r="E809" s="27">
        <v>0</v>
      </c>
      <c r="F809" s="27">
        <v>126000</v>
      </c>
      <c r="H809" s="27">
        <v>0</v>
      </c>
      <c r="J809" s="27">
        <v>126000</v>
      </c>
    </row>
    <row r="810" spans="1:10" ht="15.95" customHeight="1" x14ac:dyDescent="0.2">
      <c r="A810" s="33" t="s">
        <v>1244</v>
      </c>
      <c r="B810" s="369" t="s">
        <v>1245</v>
      </c>
      <c r="C810" s="370"/>
      <c r="D810" s="370"/>
      <c r="E810" s="27">
        <v>0</v>
      </c>
      <c r="F810" s="27">
        <v>57000</v>
      </c>
      <c r="H810" s="27">
        <v>0</v>
      </c>
      <c r="J810" s="27">
        <v>57000</v>
      </c>
    </row>
    <row r="811" spans="1:10" ht="15.95" customHeight="1" x14ac:dyDescent="0.2">
      <c r="A811" s="33" t="s">
        <v>1556</v>
      </c>
      <c r="B811" s="369" t="s">
        <v>1557</v>
      </c>
      <c r="C811" s="370"/>
      <c r="D811" s="370"/>
      <c r="E811" s="27">
        <v>0</v>
      </c>
      <c r="F811" s="27">
        <v>2741051.98</v>
      </c>
      <c r="H811" s="27">
        <v>0</v>
      </c>
      <c r="J811" s="27">
        <v>2741051.98</v>
      </c>
    </row>
    <row r="812" spans="1:10" ht="15.95" customHeight="1" x14ac:dyDescent="0.2">
      <c r="A812" s="33" t="s">
        <v>1246</v>
      </c>
      <c r="B812" s="369" t="s">
        <v>1247</v>
      </c>
      <c r="C812" s="370"/>
      <c r="D812" s="370"/>
      <c r="E812" s="27">
        <v>0</v>
      </c>
      <c r="F812" s="27">
        <v>0</v>
      </c>
      <c r="H812" s="27">
        <v>385238.7</v>
      </c>
      <c r="J812" s="27">
        <v>-385238.7</v>
      </c>
    </row>
    <row r="813" spans="1:10" ht="15.95" customHeight="1" x14ac:dyDescent="0.2">
      <c r="A813" s="33" t="s">
        <v>1248</v>
      </c>
      <c r="B813" s="369" t="s">
        <v>1249</v>
      </c>
      <c r="C813" s="370"/>
      <c r="D813" s="370"/>
      <c r="E813" s="27">
        <v>0</v>
      </c>
      <c r="F813" s="27">
        <v>5956329.6299999999</v>
      </c>
      <c r="H813" s="27">
        <v>0</v>
      </c>
      <c r="J813" s="27">
        <v>5956329.6299999999</v>
      </c>
    </row>
    <row r="814" spans="1:10" ht="15.95" customHeight="1" x14ac:dyDescent="0.2">
      <c r="A814" s="33">
        <v>5</v>
      </c>
      <c r="B814" s="369" t="s">
        <v>1250</v>
      </c>
      <c r="C814" s="370"/>
      <c r="D814" s="370"/>
      <c r="E814" s="27">
        <v>0</v>
      </c>
      <c r="F814" s="27">
        <v>17537581.620000001</v>
      </c>
      <c r="H814" s="27">
        <v>796670.12</v>
      </c>
      <c r="J814" s="27">
        <v>16740911.5</v>
      </c>
    </row>
    <row r="815" spans="1:10" ht="15.95" customHeight="1" x14ac:dyDescent="0.2">
      <c r="A815" s="33">
        <v>51</v>
      </c>
      <c r="B815" s="369" t="s">
        <v>1250</v>
      </c>
      <c r="C815" s="370"/>
      <c r="D815" s="370"/>
      <c r="E815" s="27">
        <v>0</v>
      </c>
      <c r="F815" s="27">
        <v>15587996.18</v>
      </c>
      <c r="H815" s="27">
        <v>523060.66</v>
      </c>
      <c r="J815" s="27">
        <v>15064935.52</v>
      </c>
    </row>
    <row r="816" spans="1:10" ht="15.95" customHeight="1" x14ac:dyDescent="0.2">
      <c r="A816" s="33">
        <v>511</v>
      </c>
      <c r="B816" s="369" t="s">
        <v>1251</v>
      </c>
      <c r="C816" s="370"/>
      <c r="D816" s="370"/>
      <c r="E816" s="27">
        <v>0</v>
      </c>
      <c r="F816" s="27">
        <v>15587996.18</v>
      </c>
      <c r="H816" s="27">
        <v>523060.66</v>
      </c>
      <c r="J816" s="27">
        <v>15064935.52</v>
      </c>
    </row>
    <row r="817" spans="1:10" ht="15.95" customHeight="1" x14ac:dyDescent="0.2">
      <c r="A817" s="33">
        <v>51101</v>
      </c>
      <c r="B817" s="369" t="s">
        <v>1251</v>
      </c>
      <c r="C817" s="370"/>
      <c r="D817" s="370"/>
      <c r="E817" s="27">
        <v>0</v>
      </c>
      <c r="F817" s="27">
        <v>15587996.18</v>
      </c>
      <c r="H817" s="27">
        <v>523060.66</v>
      </c>
      <c r="J817" s="27">
        <v>15064935.52</v>
      </c>
    </row>
    <row r="818" spans="1:10" ht="15.95" customHeight="1" x14ac:dyDescent="0.2">
      <c r="A818" s="33">
        <v>5110101</v>
      </c>
      <c r="B818" s="369" t="s">
        <v>1252</v>
      </c>
      <c r="C818" s="370"/>
      <c r="D818" s="370"/>
      <c r="E818" s="27">
        <v>0</v>
      </c>
      <c r="F818" s="27">
        <v>7888499.1100000003</v>
      </c>
      <c r="H818" s="27">
        <v>504196.35</v>
      </c>
      <c r="J818" s="27">
        <v>7384302.7599999998</v>
      </c>
    </row>
    <row r="819" spans="1:10" ht="15.95" customHeight="1" x14ac:dyDescent="0.2">
      <c r="A819" s="33" t="s">
        <v>1253</v>
      </c>
      <c r="B819" s="369" t="s">
        <v>1164</v>
      </c>
      <c r="C819" s="370"/>
      <c r="D819" s="370"/>
      <c r="E819" s="27">
        <v>0</v>
      </c>
      <c r="F819" s="27">
        <v>2380150.9900000002</v>
      </c>
      <c r="H819" s="27">
        <v>48442.73</v>
      </c>
      <c r="J819" s="27">
        <v>2331708.2599999998</v>
      </c>
    </row>
    <row r="820" spans="1:10" ht="15.95" customHeight="1" x14ac:dyDescent="0.2">
      <c r="A820" s="33" t="s">
        <v>1254</v>
      </c>
      <c r="B820" s="369" t="s">
        <v>1166</v>
      </c>
      <c r="C820" s="370"/>
      <c r="D820" s="370"/>
      <c r="E820" s="27">
        <v>0</v>
      </c>
      <c r="F820" s="27">
        <v>812009.68</v>
      </c>
      <c r="H820" s="27">
        <v>665.03</v>
      </c>
      <c r="J820" s="27">
        <v>811344.65</v>
      </c>
    </row>
    <row r="821" spans="1:10" ht="15.95" customHeight="1" x14ac:dyDescent="0.2">
      <c r="A821" s="33" t="s">
        <v>1255</v>
      </c>
      <c r="B821" s="369" t="s">
        <v>1186</v>
      </c>
      <c r="C821" s="370"/>
      <c r="D821" s="370"/>
      <c r="E821" s="27">
        <v>0</v>
      </c>
      <c r="F821" s="27">
        <v>199617.49</v>
      </c>
      <c r="H821" s="27">
        <v>13530.33</v>
      </c>
      <c r="J821" s="27">
        <v>186087.16</v>
      </c>
    </row>
    <row r="822" spans="1:10" ht="15.95" customHeight="1" x14ac:dyDescent="0.2">
      <c r="A822" s="33" t="s">
        <v>1258</v>
      </c>
      <c r="B822" s="369" t="s">
        <v>1176</v>
      </c>
      <c r="C822" s="370"/>
      <c r="D822" s="370"/>
      <c r="E822" s="27">
        <v>0</v>
      </c>
      <c r="F822" s="27">
        <v>1330590.23</v>
      </c>
      <c r="H822" s="27">
        <v>52486.96</v>
      </c>
      <c r="J822" s="27">
        <v>1278103.27</v>
      </c>
    </row>
    <row r="823" spans="1:10" ht="15.95" customHeight="1" x14ac:dyDescent="0.2">
      <c r="A823" s="33" t="s">
        <v>1259</v>
      </c>
      <c r="B823" s="369" t="s">
        <v>1178</v>
      </c>
      <c r="C823" s="370"/>
      <c r="D823" s="370"/>
      <c r="E823" s="27">
        <v>0</v>
      </c>
      <c r="F823" s="27">
        <v>378634</v>
      </c>
      <c r="H823" s="27">
        <v>15689.48</v>
      </c>
      <c r="J823" s="27">
        <v>362944.52</v>
      </c>
    </row>
    <row r="824" spans="1:10" ht="15.95" customHeight="1" x14ac:dyDescent="0.2">
      <c r="A824" s="33" t="s">
        <v>1260</v>
      </c>
      <c r="B824" s="369" t="s">
        <v>1261</v>
      </c>
      <c r="C824" s="370"/>
      <c r="D824" s="370"/>
      <c r="E824" s="27">
        <v>0</v>
      </c>
      <c r="F824" s="27">
        <v>332528.25</v>
      </c>
      <c r="H824" s="27">
        <v>12773.4</v>
      </c>
      <c r="J824" s="27">
        <v>319754.84999999998</v>
      </c>
    </row>
    <row r="825" spans="1:10" ht="15.95" customHeight="1" x14ac:dyDescent="0.2">
      <c r="A825" s="33" t="s">
        <v>1262</v>
      </c>
      <c r="B825" s="369" t="s">
        <v>1263</v>
      </c>
      <c r="C825" s="370"/>
      <c r="D825" s="370"/>
      <c r="E825" s="27">
        <v>0</v>
      </c>
      <c r="F825" s="27">
        <v>534417.43000000005</v>
      </c>
      <c r="H825" s="27">
        <v>231316.58</v>
      </c>
      <c r="J825" s="27">
        <v>303100.84999999998</v>
      </c>
    </row>
    <row r="826" spans="1:10" ht="15.95" customHeight="1" x14ac:dyDescent="0.2">
      <c r="A826" s="33" t="s">
        <v>1264</v>
      </c>
      <c r="B826" s="369" t="s">
        <v>1184</v>
      </c>
      <c r="C826" s="370"/>
      <c r="D826" s="370"/>
      <c r="E826" s="27">
        <v>0</v>
      </c>
      <c r="F826" s="27">
        <v>57</v>
      </c>
      <c r="H826" s="27">
        <v>57</v>
      </c>
      <c r="J826" s="27">
        <v>0</v>
      </c>
    </row>
    <row r="827" spans="1:10" ht="15.95" customHeight="1" x14ac:dyDescent="0.2">
      <c r="A827" s="33" t="s">
        <v>1265</v>
      </c>
      <c r="B827" s="369" t="s">
        <v>1266</v>
      </c>
      <c r="C827" s="370"/>
      <c r="D827" s="370"/>
      <c r="E827" s="27">
        <v>0</v>
      </c>
      <c r="F827" s="27">
        <v>635899.75</v>
      </c>
      <c r="H827" s="27">
        <v>91454.97</v>
      </c>
      <c r="J827" s="27">
        <v>544444.78</v>
      </c>
    </row>
    <row r="828" spans="1:10" ht="15.95" customHeight="1" x14ac:dyDescent="0.2">
      <c r="A828" s="33" t="s">
        <v>1267</v>
      </c>
      <c r="B828" s="369" t="s">
        <v>1198</v>
      </c>
      <c r="C828" s="370"/>
      <c r="D828" s="370"/>
      <c r="E828" s="27">
        <v>0</v>
      </c>
      <c r="F828" s="27">
        <v>384278.12</v>
      </c>
      <c r="H828" s="27">
        <v>15264.01</v>
      </c>
      <c r="J828" s="27">
        <v>369014.11</v>
      </c>
    </row>
    <row r="829" spans="1:10" ht="15.95" customHeight="1" x14ac:dyDescent="0.2">
      <c r="A829" s="33" t="s">
        <v>1268</v>
      </c>
      <c r="B829" s="369" t="s">
        <v>1269</v>
      </c>
      <c r="C829" s="370"/>
      <c r="D829" s="370"/>
      <c r="E829" s="27">
        <v>0</v>
      </c>
      <c r="F829" s="27">
        <v>142782.79</v>
      </c>
      <c r="H829" s="27">
        <v>0</v>
      </c>
      <c r="J829" s="27">
        <v>142782.79</v>
      </c>
    </row>
    <row r="830" spans="1:10" ht="15.95" customHeight="1" x14ac:dyDescent="0.2">
      <c r="A830" s="33" t="s">
        <v>1270</v>
      </c>
      <c r="B830" s="369" t="s">
        <v>658</v>
      </c>
      <c r="C830" s="370"/>
      <c r="D830" s="370"/>
      <c r="E830" s="27">
        <v>0</v>
      </c>
      <c r="F830" s="27">
        <v>4340.82</v>
      </c>
      <c r="H830" s="27">
        <v>0</v>
      </c>
      <c r="J830" s="27">
        <v>4340.82</v>
      </c>
    </row>
    <row r="831" spans="1:10" ht="15.95" customHeight="1" x14ac:dyDescent="0.2">
      <c r="A831" s="33" t="s">
        <v>1271</v>
      </c>
      <c r="B831" s="369" t="s">
        <v>1272</v>
      </c>
      <c r="C831" s="370"/>
      <c r="D831" s="370"/>
      <c r="E831" s="27">
        <v>0</v>
      </c>
      <c r="F831" s="27">
        <v>4520.8900000000003</v>
      </c>
      <c r="H831" s="27">
        <v>0</v>
      </c>
      <c r="J831" s="27">
        <v>4520.8900000000003</v>
      </c>
    </row>
    <row r="832" spans="1:10" ht="15.95" customHeight="1" x14ac:dyDescent="0.2">
      <c r="A832" s="33" t="s">
        <v>1273</v>
      </c>
      <c r="B832" s="369" t="s">
        <v>1274</v>
      </c>
      <c r="C832" s="370"/>
      <c r="D832" s="370"/>
      <c r="E832" s="27">
        <v>0</v>
      </c>
      <c r="F832" s="27">
        <v>44304.72</v>
      </c>
      <c r="H832" s="27">
        <v>11098.87</v>
      </c>
      <c r="J832" s="27">
        <v>33205.85</v>
      </c>
    </row>
    <row r="833" spans="1:10" ht="15.95" customHeight="1" x14ac:dyDescent="0.2">
      <c r="A833" s="33" t="s">
        <v>1275</v>
      </c>
      <c r="B833" s="369" t="s">
        <v>1188</v>
      </c>
      <c r="C833" s="370"/>
      <c r="D833" s="370"/>
      <c r="E833" s="27">
        <v>0</v>
      </c>
      <c r="F833" s="27">
        <v>87979.53</v>
      </c>
      <c r="H833" s="27">
        <v>0</v>
      </c>
      <c r="J833" s="27">
        <v>87979.53</v>
      </c>
    </row>
    <row r="834" spans="1:10" ht="15.95" customHeight="1" x14ac:dyDescent="0.2">
      <c r="A834" s="33" t="s">
        <v>1276</v>
      </c>
      <c r="B834" s="369" t="s">
        <v>1180</v>
      </c>
      <c r="C834" s="370"/>
      <c r="D834" s="370"/>
      <c r="E834" s="27">
        <v>0</v>
      </c>
      <c r="F834" s="27">
        <v>22865.19</v>
      </c>
      <c r="H834" s="27">
        <v>7223.92</v>
      </c>
      <c r="J834" s="27">
        <v>15641.27</v>
      </c>
    </row>
    <row r="835" spans="1:10" ht="15.95" customHeight="1" x14ac:dyDescent="0.2">
      <c r="A835" s="33" t="s">
        <v>1277</v>
      </c>
      <c r="B835" s="369" t="s">
        <v>1190</v>
      </c>
      <c r="C835" s="370"/>
      <c r="D835" s="370"/>
      <c r="E835" s="27">
        <v>0</v>
      </c>
      <c r="F835" s="27">
        <v>122578.9</v>
      </c>
      <c r="H835" s="27">
        <v>0</v>
      </c>
      <c r="J835" s="27">
        <v>122578.9</v>
      </c>
    </row>
    <row r="836" spans="1:10" ht="15.95" customHeight="1" x14ac:dyDescent="0.2">
      <c r="A836" s="33" t="s">
        <v>1278</v>
      </c>
      <c r="B836" s="369" t="s">
        <v>1279</v>
      </c>
      <c r="C836" s="370"/>
      <c r="D836" s="370"/>
      <c r="E836" s="27">
        <v>0</v>
      </c>
      <c r="F836" s="27">
        <v>6351.25</v>
      </c>
      <c r="H836" s="27">
        <v>1477</v>
      </c>
      <c r="J836" s="27">
        <v>4874.25</v>
      </c>
    </row>
    <row r="837" spans="1:10" ht="15.95" customHeight="1" x14ac:dyDescent="0.2">
      <c r="A837" s="33" t="s">
        <v>1280</v>
      </c>
      <c r="B837" s="369" t="s">
        <v>1192</v>
      </c>
      <c r="C837" s="370"/>
      <c r="D837" s="370"/>
      <c r="E837" s="27">
        <v>0</v>
      </c>
      <c r="F837" s="27">
        <v>25571.83</v>
      </c>
      <c r="H837" s="27">
        <v>0</v>
      </c>
      <c r="J837" s="27">
        <v>25571.83</v>
      </c>
    </row>
    <row r="838" spans="1:10" ht="15.95" customHeight="1" x14ac:dyDescent="0.2">
      <c r="A838" s="33" t="s">
        <v>1281</v>
      </c>
      <c r="B838" s="369" t="s">
        <v>1200</v>
      </c>
      <c r="C838" s="370"/>
      <c r="D838" s="370"/>
      <c r="E838" s="27">
        <v>0</v>
      </c>
      <c r="F838" s="27">
        <v>419387.75</v>
      </c>
      <c r="H838" s="27">
        <v>2716.07</v>
      </c>
      <c r="J838" s="27">
        <v>416671.68</v>
      </c>
    </row>
    <row r="839" spans="1:10" ht="27.95" customHeight="1" x14ac:dyDescent="0.2">
      <c r="A839" s="33" t="s">
        <v>1558</v>
      </c>
      <c r="B839" s="369" t="s">
        <v>1559</v>
      </c>
      <c r="C839" s="370"/>
      <c r="D839" s="370"/>
      <c r="E839" s="27">
        <v>0</v>
      </c>
      <c r="F839" s="27">
        <v>19632.5</v>
      </c>
      <c r="H839" s="27">
        <v>0</v>
      </c>
      <c r="J839" s="27">
        <v>19632.5</v>
      </c>
    </row>
    <row r="840" spans="1:10" ht="15.95" customHeight="1" x14ac:dyDescent="0.2">
      <c r="A840" s="401" t="s">
        <v>1441</v>
      </c>
      <c r="B840" s="370"/>
      <c r="C840" s="370"/>
      <c r="D840" s="102" t="s">
        <v>1744</v>
      </c>
      <c r="J840" s="103" t="s">
        <v>1745</v>
      </c>
    </row>
    <row r="841" spans="1:10" ht="20.100000000000001" customHeight="1" x14ac:dyDescent="0.2">
      <c r="A841" s="99" t="s">
        <v>1424</v>
      </c>
      <c r="J841" s="100" t="s">
        <v>1759</v>
      </c>
    </row>
    <row r="842" spans="1:10" ht="15.95" customHeight="1" x14ac:dyDescent="0.2">
      <c r="A842" s="33" t="s">
        <v>1739</v>
      </c>
      <c r="C842" s="33" t="s">
        <v>0</v>
      </c>
      <c r="J842" s="27" t="s">
        <v>1740</v>
      </c>
    </row>
    <row r="843" spans="1:10" ht="14.1" customHeight="1" x14ac:dyDescent="0.2">
      <c r="A843" s="101" t="s">
        <v>1741</v>
      </c>
      <c r="J843" s="27" t="s">
        <v>1742</v>
      </c>
    </row>
    <row r="844" spans="1:10" ht="15" customHeight="1" x14ac:dyDescent="0.2">
      <c r="A844" s="101" t="s">
        <v>1743</v>
      </c>
    </row>
    <row r="845" spans="1:10" ht="23.1" customHeight="1" x14ac:dyDescent="0.2">
      <c r="A845" s="23" t="s">
        <v>55</v>
      </c>
      <c r="B845" s="23" t="s">
        <v>56</v>
      </c>
      <c r="E845" s="24" t="s">
        <v>57</v>
      </c>
      <c r="F845" s="24" t="s">
        <v>58</v>
      </c>
      <c r="H845" s="24" t="s">
        <v>59</v>
      </c>
      <c r="J845" s="24" t="s">
        <v>60</v>
      </c>
    </row>
    <row r="846" spans="1:10" ht="15.95" customHeight="1" x14ac:dyDescent="0.2">
      <c r="A846" s="33">
        <v>5110102</v>
      </c>
      <c r="B846" s="369" t="s">
        <v>1286</v>
      </c>
      <c r="C846" s="370"/>
      <c r="D846" s="370"/>
      <c r="E846" s="27">
        <v>0</v>
      </c>
      <c r="F846" s="27">
        <v>218800.8</v>
      </c>
      <c r="H846" s="27">
        <v>7683.51</v>
      </c>
      <c r="J846" s="27">
        <v>211117.29</v>
      </c>
    </row>
    <row r="847" spans="1:10" ht="15.95" customHeight="1" x14ac:dyDescent="0.2">
      <c r="A847" s="33" t="s">
        <v>1287</v>
      </c>
      <c r="B847" s="369" t="s">
        <v>1288</v>
      </c>
      <c r="C847" s="370"/>
      <c r="D847" s="370"/>
      <c r="E847" s="27">
        <v>0</v>
      </c>
      <c r="F847" s="27">
        <v>68548.95</v>
      </c>
      <c r="H847" s="27">
        <v>7683.51</v>
      </c>
      <c r="J847" s="27">
        <v>60865.440000000002</v>
      </c>
    </row>
    <row r="848" spans="1:10" ht="15.95" customHeight="1" x14ac:dyDescent="0.2">
      <c r="A848" s="33" t="s">
        <v>1289</v>
      </c>
      <c r="B848" s="369" t="s">
        <v>1290</v>
      </c>
      <c r="C848" s="370"/>
      <c r="D848" s="370"/>
      <c r="E848" s="27">
        <v>0</v>
      </c>
      <c r="F848" s="27">
        <v>91574.36</v>
      </c>
      <c r="H848" s="27">
        <v>0</v>
      </c>
      <c r="J848" s="27">
        <v>91574.36</v>
      </c>
    </row>
    <row r="849" spans="1:10" ht="15.95" customHeight="1" x14ac:dyDescent="0.2">
      <c r="A849" s="33" t="s">
        <v>1625</v>
      </c>
      <c r="B849" s="369" t="s">
        <v>1562</v>
      </c>
      <c r="C849" s="370"/>
      <c r="D849" s="370"/>
      <c r="E849" s="27">
        <v>0</v>
      </c>
      <c r="F849" s="27">
        <v>59.9</v>
      </c>
      <c r="H849" s="27">
        <v>0</v>
      </c>
      <c r="J849" s="27">
        <v>59.9</v>
      </c>
    </row>
    <row r="850" spans="1:10" ht="15.95" customHeight="1" x14ac:dyDescent="0.2">
      <c r="A850" s="33" t="s">
        <v>1626</v>
      </c>
      <c r="B850" s="369" t="s">
        <v>1564</v>
      </c>
      <c r="C850" s="370"/>
      <c r="D850" s="370"/>
      <c r="E850" s="27">
        <v>0</v>
      </c>
      <c r="F850" s="27">
        <v>399</v>
      </c>
      <c r="H850" s="27">
        <v>0</v>
      </c>
      <c r="J850" s="27">
        <v>399</v>
      </c>
    </row>
    <row r="851" spans="1:10" ht="15.95" customHeight="1" x14ac:dyDescent="0.2">
      <c r="A851" s="33" t="s">
        <v>1560</v>
      </c>
      <c r="B851" s="369" t="s">
        <v>1300</v>
      </c>
      <c r="C851" s="370"/>
      <c r="D851" s="370"/>
      <c r="E851" s="27">
        <v>0</v>
      </c>
      <c r="F851" s="27">
        <v>70</v>
      </c>
      <c r="H851" s="27">
        <v>0</v>
      </c>
      <c r="J851" s="27">
        <v>70</v>
      </c>
    </row>
    <row r="852" spans="1:10" ht="15.95" customHeight="1" x14ac:dyDescent="0.2">
      <c r="A852" s="33" t="s">
        <v>1291</v>
      </c>
      <c r="B852" s="369" t="s">
        <v>1292</v>
      </c>
      <c r="C852" s="370"/>
      <c r="D852" s="370"/>
      <c r="E852" s="27">
        <v>0</v>
      </c>
      <c r="F852" s="27">
        <v>23050.53</v>
      </c>
      <c r="H852" s="27">
        <v>0</v>
      </c>
      <c r="J852" s="27">
        <v>23050.53</v>
      </c>
    </row>
    <row r="853" spans="1:10" ht="15.95" customHeight="1" x14ac:dyDescent="0.2">
      <c r="A853" s="33" t="s">
        <v>1293</v>
      </c>
      <c r="B853" s="369" t="s">
        <v>1294</v>
      </c>
      <c r="C853" s="370"/>
      <c r="D853" s="370"/>
      <c r="E853" s="27">
        <v>0</v>
      </c>
      <c r="F853" s="27">
        <v>35098.06</v>
      </c>
      <c r="H853" s="27">
        <v>0</v>
      </c>
      <c r="J853" s="27">
        <v>35098.06</v>
      </c>
    </row>
    <row r="854" spans="1:10" ht="15.95" customHeight="1" x14ac:dyDescent="0.2">
      <c r="A854" s="33">
        <v>5110103</v>
      </c>
      <c r="B854" s="369" t="s">
        <v>1295</v>
      </c>
      <c r="C854" s="370"/>
      <c r="D854" s="370"/>
      <c r="E854" s="27">
        <v>0</v>
      </c>
      <c r="F854" s="27">
        <v>4770021.1100000003</v>
      </c>
      <c r="H854" s="27">
        <v>1556.47</v>
      </c>
      <c r="J854" s="27">
        <v>4768464.6399999997</v>
      </c>
    </row>
    <row r="855" spans="1:10" ht="15.95" customHeight="1" x14ac:dyDescent="0.2">
      <c r="A855" s="33" t="s">
        <v>1627</v>
      </c>
      <c r="B855" s="369" t="s">
        <v>1628</v>
      </c>
      <c r="C855" s="370"/>
      <c r="D855" s="370"/>
      <c r="E855" s="27">
        <v>0</v>
      </c>
      <c r="F855" s="27">
        <v>36000</v>
      </c>
      <c r="H855" s="27">
        <v>0</v>
      </c>
      <c r="J855" s="27">
        <v>36000</v>
      </c>
    </row>
    <row r="856" spans="1:10" ht="15.95" customHeight="1" x14ac:dyDescent="0.2">
      <c r="A856" s="33" t="s">
        <v>1296</v>
      </c>
      <c r="B856" s="369" t="s">
        <v>1297</v>
      </c>
      <c r="C856" s="370"/>
      <c r="D856" s="370"/>
      <c r="E856" s="27">
        <v>0</v>
      </c>
      <c r="F856" s="27">
        <v>161657.98000000001</v>
      </c>
      <c r="H856" s="27">
        <v>0</v>
      </c>
      <c r="J856" s="27">
        <v>161657.98000000001</v>
      </c>
    </row>
    <row r="857" spans="1:10" ht="15.95" customHeight="1" x14ac:dyDescent="0.2">
      <c r="A857" s="33" t="s">
        <v>1298</v>
      </c>
      <c r="B857" s="369" t="s">
        <v>1203</v>
      </c>
      <c r="C857" s="370"/>
      <c r="D857" s="370"/>
      <c r="E857" s="27">
        <v>0</v>
      </c>
      <c r="F857" s="27">
        <v>833</v>
      </c>
      <c r="H857" s="27">
        <v>0</v>
      </c>
      <c r="J857" s="27">
        <v>833</v>
      </c>
    </row>
    <row r="858" spans="1:10" ht="15.95" customHeight="1" x14ac:dyDescent="0.2">
      <c r="A858" s="33" t="s">
        <v>1561</v>
      </c>
      <c r="B858" s="369" t="s">
        <v>1562</v>
      </c>
      <c r="C858" s="370"/>
      <c r="D858" s="370"/>
      <c r="E858" s="27">
        <v>0</v>
      </c>
      <c r="F858" s="27">
        <v>113203.86</v>
      </c>
      <c r="H858" s="27">
        <v>0</v>
      </c>
      <c r="J858" s="27">
        <v>113203.86</v>
      </c>
    </row>
    <row r="859" spans="1:10" ht="15.95" customHeight="1" x14ac:dyDescent="0.2">
      <c r="A859" s="33" t="s">
        <v>1563</v>
      </c>
      <c r="B859" s="369" t="s">
        <v>1564</v>
      </c>
      <c r="C859" s="370"/>
      <c r="D859" s="370"/>
      <c r="E859" s="27">
        <v>0</v>
      </c>
      <c r="F859" s="27">
        <v>1020</v>
      </c>
      <c r="H859" s="27">
        <v>0</v>
      </c>
      <c r="J859" s="27">
        <v>1020</v>
      </c>
    </row>
    <row r="860" spans="1:10" ht="15.95" customHeight="1" x14ac:dyDescent="0.2">
      <c r="A860" s="33" t="s">
        <v>1299</v>
      </c>
      <c r="B860" s="369" t="s">
        <v>1300</v>
      </c>
      <c r="C860" s="370"/>
      <c r="D860" s="370"/>
      <c r="E860" s="27">
        <v>0</v>
      </c>
      <c r="F860" s="27">
        <v>9893.58</v>
      </c>
      <c r="H860" s="27">
        <v>0</v>
      </c>
      <c r="J860" s="27">
        <v>9893.58</v>
      </c>
    </row>
    <row r="861" spans="1:10" ht="15.95" customHeight="1" x14ac:dyDescent="0.2">
      <c r="A861" s="33" t="s">
        <v>1565</v>
      </c>
      <c r="B861" s="369" t="s">
        <v>1566</v>
      </c>
      <c r="C861" s="370"/>
      <c r="D861" s="370"/>
      <c r="E861" s="27">
        <v>0</v>
      </c>
      <c r="F861" s="27">
        <v>15495.21</v>
      </c>
      <c r="H861" s="27">
        <v>0</v>
      </c>
      <c r="J861" s="27">
        <v>15495.21</v>
      </c>
    </row>
    <row r="862" spans="1:10" ht="15.95" customHeight="1" x14ac:dyDescent="0.2">
      <c r="A862" s="33" t="s">
        <v>1301</v>
      </c>
      <c r="B862" s="369" t="s">
        <v>1302</v>
      </c>
      <c r="C862" s="370"/>
      <c r="D862" s="370"/>
      <c r="E862" s="27">
        <v>0</v>
      </c>
      <c r="F862" s="27">
        <v>16976.52</v>
      </c>
      <c r="H862" s="27">
        <v>0</v>
      </c>
      <c r="J862" s="27">
        <v>16976.52</v>
      </c>
    </row>
    <row r="863" spans="1:10" ht="15.95" customHeight="1" x14ac:dyDescent="0.2">
      <c r="A863" s="33" t="s">
        <v>1303</v>
      </c>
      <c r="B863" s="369" t="s">
        <v>1304</v>
      </c>
      <c r="C863" s="370"/>
      <c r="D863" s="370"/>
      <c r="E863" s="27">
        <v>0</v>
      </c>
      <c r="F863" s="27">
        <v>1213530.51</v>
      </c>
      <c r="H863" s="27">
        <v>0</v>
      </c>
      <c r="J863" s="27">
        <v>1213530.51</v>
      </c>
    </row>
    <row r="864" spans="1:10" ht="15.95" customHeight="1" x14ac:dyDescent="0.2">
      <c r="A864" s="33" t="s">
        <v>1305</v>
      </c>
      <c r="B864" s="369" t="s">
        <v>1306</v>
      </c>
      <c r="C864" s="370"/>
      <c r="D864" s="370"/>
      <c r="E864" s="27">
        <v>0</v>
      </c>
      <c r="F864" s="27">
        <v>1598454.61</v>
      </c>
      <c r="H864" s="27">
        <v>0</v>
      </c>
      <c r="J864" s="27">
        <v>1598454.61</v>
      </c>
    </row>
    <row r="865" spans="1:10" ht="15.95" customHeight="1" x14ac:dyDescent="0.2">
      <c r="A865" s="33" t="s">
        <v>1307</v>
      </c>
      <c r="B865" s="369" t="s">
        <v>1308</v>
      </c>
      <c r="C865" s="370"/>
      <c r="D865" s="370"/>
      <c r="E865" s="27">
        <v>0</v>
      </c>
      <c r="F865" s="27">
        <v>12608</v>
      </c>
      <c r="H865" s="27">
        <v>0</v>
      </c>
      <c r="J865" s="27">
        <v>12608</v>
      </c>
    </row>
    <row r="866" spans="1:10" ht="15.95" customHeight="1" x14ac:dyDescent="0.2">
      <c r="A866" s="33" t="s">
        <v>1309</v>
      </c>
      <c r="B866" s="369" t="s">
        <v>1310</v>
      </c>
      <c r="C866" s="370"/>
      <c r="D866" s="370"/>
      <c r="E866" s="27">
        <v>0</v>
      </c>
      <c r="F866" s="27">
        <v>1465032.44</v>
      </c>
      <c r="H866" s="27">
        <v>1556.47</v>
      </c>
      <c r="J866" s="27">
        <v>1463475.97</v>
      </c>
    </row>
    <row r="867" spans="1:10" ht="15.95" customHeight="1" x14ac:dyDescent="0.2">
      <c r="A867" s="33" t="s">
        <v>1311</v>
      </c>
      <c r="B867" s="369" t="s">
        <v>1312</v>
      </c>
      <c r="C867" s="370"/>
      <c r="D867" s="370"/>
      <c r="E867" s="27">
        <v>0</v>
      </c>
      <c r="F867" s="27">
        <v>6500</v>
      </c>
      <c r="H867" s="27">
        <v>0</v>
      </c>
      <c r="J867" s="27">
        <v>6500</v>
      </c>
    </row>
    <row r="868" spans="1:10" ht="15.95" customHeight="1" x14ac:dyDescent="0.2">
      <c r="A868" s="33" t="s">
        <v>1313</v>
      </c>
      <c r="B868" s="369" t="s">
        <v>1314</v>
      </c>
      <c r="C868" s="370"/>
      <c r="D868" s="370"/>
      <c r="E868" s="27">
        <v>0</v>
      </c>
      <c r="F868" s="27">
        <v>33125</v>
      </c>
      <c r="H868" s="27">
        <v>0</v>
      </c>
      <c r="J868" s="27">
        <v>33125</v>
      </c>
    </row>
    <row r="869" spans="1:10" ht="15.95" customHeight="1" x14ac:dyDescent="0.2">
      <c r="A869" s="33" t="s">
        <v>1315</v>
      </c>
      <c r="B869" s="369" t="s">
        <v>1316</v>
      </c>
      <c r="C869" s="370"/>
      <c r="D869" s="370"/>
      <c r="E869" s="27">
        <v>0</v>
      </c>
      <c r="F869" s="27">
        <v>71540.399999999994</v>
      </c>
      <c r="H869" s="27">
        <v>0</v>
      </c>
      <c r="J869" s="27">
        <v>71540.399999999994</v>
      </c>
    </row>
    <row r="870" spans="1:10" ht="15.95" customHeight="1" x14ac:dyDescent="0.2">
      <c r="A870" s="33" t="s">
        <v>1317</v>
      </c>
      <c r="B870" s="369" t="s">
        <v>1318</v>
      </c>
      <c r="C870" s="370"/>
      <c r="D870" s="370"/>
      <c r="E870" s="27">
        <v>0</v>
      </c>
      <c r="F870" s="27">
        <v>1041</v>
      </c>
      <c r="H870" s="27">
        <v>0</v>
      </c>
      <c r="J870" s="27">
        <v>1041</v>
      </c>
    </row>
    <row r="871" spans="1:10" ht="15.95" customHeight="1" x14ac:dyDescent="0.2">
      <c r="A871" s="33" t="s">
        <v>1323</v>
      </c>
      <c r="B871" s="369" t="s">
        <v>1324</v>
      </c>
      <c r="C871" s="370"/>
      <c r="D871" s="370"/>
      <c r="E871" s="27">
        <v>0</v>
      </c>
      <c r="F871" s="27">
        <v>13109</v>
      </c>
      <c r="H871" s="27">
        <v>0</v>
      </c>
      <c r="J871" s="27">
        <v>13109</v>
      </c>
    </row>
    <row r="872" spans="1:10" ht="15.95" customHeight="1" x14ac:dyDescent="0.2">
      <c r="A872" s="33">
        <v>5110104</v>
      </c>
      <c r="B872" s="369" t="s">
        <v>1325</v>
      </c>
      <c r="C872" s="370"/>
      <c r="D872" s="370"/>
      <c r="E872" s="27">
        <v>0</v>
      </c>
      <c r="F872" s="27">
        <v>119447.35</v>
      </c>
      <c r="H872" s="27">
        <v>228.27</v>
      </c>
      <c r="J872" s="27">
        <v>119219.08</v>
      </c>
    </row>
    <row r="873" spans="1:10" ht="15.95" customHeight="1" x14ac:dyDescent="0.2">
      <c r="A873" s="33" t="s">
        <v>1326</v>
      </c>
      <c r="B873" s="369" t="s">
        <v>182</v>
      </c>
      <c r="C873" s="370"/>
      <c r="D873" s="370"/>
      <c r="E873" s="27">
        <v>0</v>
      </c>
      <c r="F873" s="27">
        <v>23699.95</v>
      </c>
      <c r="H873" s="27">
        <v>50.67</v>
      </c>
      <c r="J873" s="27">
        <v>23649.279999999999</v>
      </c>
    </row>
    <row r="874" spans="1:10" ht="15.95" customHeight="1" x14ac:dyDescent="0.2">
      <c r="A874" s="33" t="s">
        <v>1327</v>
      </c>
      <c r="B874" s="369" t="s">
        <v>1328</v>
      </c>
      <c r="C874" s="370"/>
      <c r="D874" s="370"/>
      <c r="E874" s="27">
        <v>0</v>
      </c>
      <c r="F874" s="27">
        <v>27644.9</v>
      </c>
      <c r="H874" s="27">
        <v>0</v>
      </c>
      <c r="J874" s="27">
        <v>27644.9</v>
      </c>
    </row>
    <row r="875" spans="1:10" ht="15.95" customHeight="1" x14ac:dyDescent="0.2">
      <c r="A875" s="33" t="s">
        <v>1329</v>
      </c>
      <c r="B875" s="369" t="s">
        <v>1330</v>
      </c>
      <c r="C875" s="370"/>
      <c r="D875" s="370"/>
      <c r="E875" s="27">
        <v>0</v>
      </c>
      <c r="F875" s="27">
        <v>8986.23</v>
      </c>
      <c r="H875" s="27">
        <v>0</v>
      </c>
      <c r="J875" s="27">
        <v>8986.23</v>
      </c>
    </row>
    <row r="876" spans="1:10" ht="15.95" customHeight="1" x14ac:dyDescent="0.2">
      <c r="A876" s="33" t="s">
        <v>1331</v>
      </c>
      <c r="B876" s="369" t="s">
        <v>1332</v>
      </c>
      <c r="C876" s="370"/>
      <c r="D876" s="370"/>
      <c r="E876" s="27">
        <v>0</v>
      </c>
      <c r="F876" s="27">
        <v>631.55999999999995</v>
      </c>
      <c r="H876" s="27">
        <v>0</v>
      </c>
      <c r="J876" s="27">
        <v>631.55999999999995</v>
      </c>
    </row>
    <row r="877" spans="1:10" ht="15.95" customHeight="1" x14ac:dyDescent="0.2">
      <c r="A877" s="33" t="s">
        <v>1333</v>
      </c>
      <c r="B877" s="369" t="s">
        <v>186</v>
      </c>
      <c r="C877" s="370"/>
      <c r="D877" s="370"/>
      <c r="E877" s="27">
        <v>0</v>
      </c>
      <c r="F877" s="27">
        <v>1994.75</v>
      </c>
      <c r="H877" s="27">
        <v>0</v>
      </c>
      <c r="J877" s="27">
        <v>1994.75</v>
      </c>
    </row>
    <row r="878" spans="1:10" ht="15.95" customHeight="1" x14ac:dyDescent="0.2">
      <c r="A878" s="33" t="s">
        <v>1334</v>
      </c>
      <c r="B878" s="369" t="s">
        <v>1335</v>
      </c>
      <c r="C878" s="370"/>
      <c r="D878" s="370"/>
      <c r="E878" s="27">
        <v>0</v>
      </c>
      <c r="F878" s="27">
        <v>2830.04</v>
      </c>
      <c r="H878" s="27">
        <v>0</v>
      </c>
      <c r="J878" s="27">
        <v>2830.04</v>
      </c>
    </row>
    <row r="879" spans="1:10" ht="15.95" customHeight="1" x14ac:dyDescent="0.2">
      <c r="A879" s="33" t="s">
        <v>1336</v>
      </c>
      <c r="B879" s="369" t="s">
        <v>188</v>
      </c>
      <c r="C879" s="370"/>
      <c r="D879" s="370"/>
      <c r="E879" s="27">
        <v>0</v>
      </c>
      <c r="F879" s="27">
        <v>1200.9000000000001</v>
      </c>
      <c r="H879" s="27">
        <v>0</v>
      </c>
      <c r="J879" s="27">
        <v>1200.9000000000001</v>
      </c>
    </row>
    <row r="880" spans="1:10" ht="15.95" customHeight="1" x14ac:dyDescent="0.2">
      <c r="A880" s="33" t="s">
        <v>1337</v>
      </c>
      <c r="B880" s="369" t="s">
        <v>1227</v>
      </c>
      <c r="C880" s="370"/>
      <c r="D880" s="370"/>
      <c r="E880" s="27">
        <v>0</v>
      </c>
      <c r="F880" s="27">
        <v>5959.58</v>
      </c>
      <c r="H880" s="27">
        <v>0</v>
      </c>
      <c r="J880" s="27">
        <v>5959.58</v>
      </c>
    </row>
    <row r="881" spans="1:10" ht="15.95" customHeight="1" x14ac:dyDescent="0.2">
      <c r="A881" s="33" t="s">
        <v>1338</v>
      </c>
      <c r="B881" s="369" t="s">
        <v>1224</v>
      </c>
      <c r="C881" s="370"/>
      <c r="D881" s="370"/>
      <c r="E881" s="27">
        <v>0</v>
      </c>
      <c r="F881" s="27">
        <v>39674.39</v>
      </c>
      <c r="H881" s="27">
        <v>177.6</v>
      </c>
      <c r="J881" s="27">
        <v>39496.79</v>
      </c>
    </row>
    <row r="882" spans="1:10" ht="15.95" customHeight="1" x14ac:dyDescent="0.2">
      <c r="A882" s="33" t="s">
        <v>1339</v>
      </c>
      <c r="B882" s="369" t="s">
        <v>1340</v>
      </c>
      <c r="C882" s="370"/>
      <c r="D882" s="370"/>
      <c r="E882" s="27">
        <v>0</v>
      </c>
      <c r="F882" s="27">
        <v>1372.04</v>
      </c>
      <c r="H882" s="27">
        <v>0</v>
      </c>
      <c r="J882" s="27">
        <v>1372.04</v>
      </c>
    </row>
    <row r="883" spans="1:10" ht="15.95" customHeight="1" x14ac:dyDescent="0.2">
      <c r="A883" s="33" t="s">
        <v>1629</v>
      </c>
      <c r="B883" s="369" t="s">
        <v>1630</v>
      </c>
      <c r="C883" s="370"/>
      <c r="D883" s="370"/>
      <c r="E883" s="27">
        <v>0</v>
      </c>
      <c r="F883" s="27">
        <v>5205.6000000000004</v>
      </c>
      <c r="H883" s="27">
        <v>0</v>
      </c>
      <c r="J883" s="27">
        <v>5205.6000000000004</v>
      </c>
    </row>
    <row r="884" spans="1:10" ht="15.95" customHeight="1" x14ac:dyDescent="0.2">
      <c r="A884" s="33" t="s">
        <v>1341</v>
      </c>
      <c r="B884" s="369" t="s">
        <v>1230</v>
      </c>
      <c r="C884" s="370"/>
      <c r="D884" s="370"/>
      <c r="E884" s="27">
        <v>0</v>
      </c>
      <c r="F884" s="27">
        <v>247.41</v>
      </c>
      <c r="H884" s="27">
        <v>0</v>
      </c>
      <c r="J884" s="27">
        <v>247.41</v>
      </c>
    </row>
    <row r="885" spans="1:10" ht="15.95" customHeight="1" x14ac:dyDescent="0.2">
      <c r="A885" s="33">
        <v>5110105</v>
      </c>
      <c r="B885" s="369" t="s">
        <v>1343</v>
      </c>
      <c r="C885" s="370"/>
      <c r="D885" s="370"/>
      <c r="E885" s="27">
        <v>0</v>
      </c>
      <c r="F885" s="27">
        <v>2591227.81</v>
      </c>
      <c r="H885" s="27">
        <v>9396.06</v>
      </c>
      <c r="J885" s="27">
        <v>2581831.75</v>
      </c>
    </row>
    <row r="886" spans="1:10" ht="15.95" customHeight="1" x14ac:dyDescent="0.2">
      <c r="A886" s="33" t="s">
        <v>1344</v>
      </c>
      <c r="B886" s="369" t="s">
        <v>1239</v>
      </c>
      <c r="C886" s="370"/>
      <c r="D886" s="370"/>
      <c r="E886" s="27">
        <v>0</v>
      </c>
      <c r="F886" s="27">
        <v>266398.17</v>
      </c>
      <c r="H886" s="27">
        <v>0</v>
      </c>
      <c r="J886" s="27">
        <v>266398.17</v>
      </c>
    </row>
    <row r="887" spans="1:10" ht="15.95" customHeight="1" x14ac:dyDescent="0.2">
      <c r="A887" s="33" t="s">
        <v>1345</v>
      </c>
      <c r="B887" s="369" t="s">
        <v>1346</v>
      </c>
      <c r="C887" s="370"/>
      <c r="D887" s="370"/>
      <c r="E887" s="27">
        <v>0</v>
      </c>
      <c r="F887" s="27">
        <v>18351.73</v>
      </c>
      <c r="H887" s="27">
        <v>0</v>
      </c>
      <c r="J887" s="27">
        <v>18351.73</v>
      </c>
    </row>
    <row r="888" spans="1:10" ht="15.95" customHeight="1" x14ac:dyDescent="0.2">
      <c r="A888" s="33" t="s">
        <v>1347</v>
      </c>
      <c r="B888" s="369" t="s">
        <v>1348</v>
      </c>
      <c r="C888" s="370"/>
      <c r="D888" s="370"/>
      <c r="E888" s="27">
        <v>0</v>
      </c>
      <c r="F888" s="27">
        <v>10908.61</v>
      </c>
      <c r="H888" s="27">
        <v>0</v>
      </c>
      <c r="J888" s="27">
        <v>10908.61</v>
      </c>
    </row>
    <row r="889" spans="1:10" ht="15.95" customHeight="1" x14ac:dyDescent="0.2">
      <c r="A889" s="33" t="s">
        <v>1567</v>
      </c>
      <c r="B889" s="369" t="s">
        <v>1241</v>
      </c>
      <c r="C889" s="370"/>
      <c r="D889" s="370"/>
      <c r="E889" s="27">
        <v>0</v>
      </c>
      <c r="F889" s="27">
        <v>904.17</v>
      </c>
      <c r="H889" s="27">
        <v>0</v>
      </c>
      <c r="J889" s="27">
        <v>904.17</v>
      </c>
    </row>
    <row r="890" spans="1:10" ht="15.95" customHeight="1" x14ac:dyDescent="0.2">
      <c r="A890" s="33" t="s">
        <v>1568</v>
      </c>
      <c r="B890" s="369" t="s">
        <v>1569</v>
      </c>
      <c r="C890" s="370"/>
      <c r="D890" s="370"/>
      <c r="E890" s="27">
        <v>0</v>
      </c>
      <c r="F890" s="27">
        <v>35169.53</v>
      </c>
      <c r="H890" s="27">
        <v>0</v>
      </c>
      <c r="J890" s="27">
        <v>35169.53</v>
      </c>
    </row>
    <row r="891" spans="1:10" ht="15.95" customHeight="1" x14ac:dyDescent="0.2">
      <c r="A891" s="33" t="s">
        <v>1349</v>
      </c>
      <c r="B891" s="369" t="s">
        <v>1243</v>
      </c>
      <c r="C891" s="370"/>
      <c r="D891" s="370"/>
      <c r="E891" s="27">
        <v>0</v>
      </c>
      <c r="F891" s="27">
        <v>5625</v>
      </c>
      <c r="H891" s="27">
        <v>0</v>
      </c>
      <c r="J891" s="27">
        <v>5625</v>
      </c>
    </row>
    <row r="892" spans="1:10" ht="15.95" customHeight="1" x14ac:dyDescent="0.2">
      <c r="A892" s="33" t="s">
        <v>1570</v>
      </c>
      <c r="B892" s="369" t="s">
        <v>1571</v>
      </c>
      <c r="C892" s="370"/>
      <c r="D892" s="370"/>
      <c r="E892" s="27">
        <v>0</v>
      </c>
      <c r="F892" s="27">
        <v>10336.629999999999</v>
      </c>
      <c r="H892" s="27">
        <v>0</v>
      </c>
      <c r="J892" s="27">
        <v>10336.629999999999</v>
      </c>
    </row>
    <row r="893" spans="1:10" ht="15.95" customHeight="1" x14ac:dyDescent="0.2">
      <c r="A893" s="33" t="s">
        <v>1350</v>
      </c>
      <c r="B893" s="369" t="s">
        <v>1351</v>
      </c>
      <c r="C893" s="370"/>
      <c r="D893" s="370"/>
      <c r="E893" s="27">
        <v>0</v>
      </c>
      <c r="F893" s="27">
        <v>6323.21</v>
      </c>
      <c r="H893" s="27">
        <v>0</v>
      </c>
      <c r="J893" s="27">
        <v>6323.21</v>
      </c>
    </row>
    <row r="894" spans="1:10" ht="15.95" customHeight="1" x14ac:dyDescent="0.2">
      <c r="A894" s="33" t="s">
        <v>1352</v>
      </c>
      <c r="B894" s="369" t="s">
        <v>1353</v>
      </c>
      <c r="C894" s="370"/>
      <c r="D894" s="370"/>
      <c r="E894" s="27">
        <v>0</v>
      </c>
      <c r="F894" s="27">
        <v>74.38</v>
      </c>
      <c r="H894" s="27">
        <v>0</v>
      </c>
      <c r="J894" s="27">
        <v>74.38</v>
      </c>
    </row>
    <row r="895" spans="1:10" ht="15.95" customHeight="1" x14ac:dyDescent="0.2">
      <c r="A895" s="33" t="s">
        <v>1354</v>
      </c>
      <c r="B895" s="369" t="s">
        <v>1355</v>
      </c>
      <c r="C895" s="370"/>
      <c r="D895" s="370"/>
      <c r="E895" s="27">
        <v>0</v>
      </c>
      <c r="F895" s="27">
        <v>101263.56</v>
      </c>
      <c r="H895" s="27">
        <v>9041.7900000000009</v>
      </c>
      <c r="J895" s="27">
        <v>92221.77</v>
      </c>
    </row>
    <row r="896" spans="1:10" ht="15.95" customHeight="1" x14ac:dyDescent="0.2">
      <c r="A896" s="33" t="s">
        <v>1572</v>
      </c>
      <c r="B896" s="369" t="s">
        <v>1573</v>
      </c>
      <c r="C896" s="370"/>
      <c r="D896" s="370"/>
      <c r="E896" s="27">
        <v>0</v>
      </c>
      <c r="F896" s="27">
        <v>198.71</v>
      </c>
      <c r="H896" s="27">
        <v>0</v>
      </c>
      <c r="J896" s="27">
        <v>198.71</v>
      </c>
    </row>
    <row r="897" spans="1:10" ht="15.95" customHeight="1" x14ac:dyDescent="0.2">
      <c r="A897" s="33" t="s">
        <v>1356</v>
      </c>
      <c r="B897" s="369" t="s">
        <v>200</v>
      </c>
      <c r="C897" s="370"/>
      <c r="D897" s="370"/>
      <c r="E897" s="27">
        <v>0</v>
      </c>
      <c r="F897" s="27">
        <v>96642</v>
      </c>
      <c r="H897" s="27">
        <v>0</v>
      </c>
      <c r="J897" s="27">
        <v>96642</v>
      </c>
    </row>
    <row r="898" spans="1:10" ht="15.95" customHeight="1" x14ac:dyDescent="0.2">
      <c r="A898" s="33" t="s">
        <v>1357</v>
      </c>
      <c r="B898" s="369" t="s">
        <v>1358</v>
      </c>
      <c r="C898" s="370"/>
      <c r="D898" s="370"/>
      <c r="E898" s="27">
        <v>0</v>
      </c>
      <c r="F898" s="27">
        <v>152008.9</v>
      </c>
      <c r="H898" s="27">
        <v>0</v>
      </c>
      <c r="J898" s="27">
        <v>152008.9</v>
      </c>
    </row>
    <row r="899" spans="1:10" ht="27.95" customHeight="1" x14ac:dyDescent="0.2">
      <c r="A899" s="33" t="s">
        <v>1359</v>
      </c>
      <c r="B899" s="369" t="s">
        <v>1360</v>
      </c>
      <c r="C899" s="370"/>
      <c r="D899" s="370"/>
      <c r="E899" s="27">
        <v>0</v>
      </c>
      <c r="F899" s="27">
        <v>11889.12</v>
      </c>
      <c r="H899" s="27">
        <v>325.02999999999997</v>
      </c>
      <c r="J899" s="27">
        <v>11564.09</v>
      </c>
    </row>
    <row r="900" spans="1:10" ht="15.95" customHeight="1" x14ac:dyDescent="0.2">
      <c r="A900" s="401" t="s">
        <v>1441</v>
      </c>
      <c r="B900" s="370"/>
      <c r="C900" s="370"/>
      <c r="D900" s="102" t="s">
        <v>1744</v>
      </c>
      <c r="J900" s="103" t="s">
        <v>1745</v>
      </c>
    </row>
    <row r="901" spans="1:10" ht="20.100000000000001" customHeight="1" x14ac:dyDescent="0.2">
      <c r="A901" s="99" t="s">
        <v>1424</v>
      </c>
      <c r="J901" s="100" t="s">
        <v>1760</v>
      </c>
    </row>
    <row r="902" spans="1:10" ht="15.95" customHeight="1" x14ac:dyDescent="0.2">
      <c r="A902" s="33" t="s">
        <v>1739</v>
      </c>
      <c r="C902" s="33" t="s">
        <v>0</v>
      </c>
      <c r="J902" s="27" t="s">
        <v>1740</v>
      </c>
    </row>
    <row r="903" spans="1:10" ht="14.1" customHeight="1" x14ac:dyDescent="0.2">
      <c r="A903" s="101" t="s">
        <v>1741</v>
      </c>
      <c r="J903" s="27" t="s">
        <v>1742</v>
      </c>
    </row>
    <row r="904" spans="1:10" ht="15" customHeight="1" x14ac:dyDescent="0.2">
      <c r="A904" s="101" t="s">
        <v>1743</v>
      </c>
    </row>
    <row r="905" spans="1:10" ht="23.1" customHeight="1" x14ac:dyDescent="0.2">
      <c r="A905" s="23" t="s">
        <v>55</v>
      </c>
      <c r="B905" s="23" t="s">
        <v>56</v>
      </c>
      <c r="E905" s="24" t="s">
        <v>57</v>
      </c>
      <c r="F905" s="24" t="s">
        <v>58</v>
      </c>
      <c r="H905" s="24" t="s">
        <v>59</v>
      </c>
      <c r="J905" s="24" t="s">
        <v>60</v>
      </c>
    </row>
    <row r="906" spans="1:10" ht="15.95" customHeight="1" x14ac:dyDescent="0.2">
      <c r="A906" s="33" t="s">
        <v>1361</v>
      </c>
      <c r="B906" s="369" t="s">
        <v>1362</v>
      </c>
      <c r="C906" s="370"/>
      <c r="D906" s="370"/>
      <c r="E906" s="27">
        <v>0</v>
      </c>
      <c r="F906" s="27">
        <v>1131947.8899999999</v>
      </c>
      <c r="H906" s="27">
        <v>0</v>
      </c>
      <c r="J906" s="27">
        <v>1131947.8899999999</v>
      </c>
    </row>
    <row r="907" spans="1:10" ht="15.95" customHeight="1" x14ac:dyDescent="0.2">
      <c r="A907" s="33" t="s">
        <v>1363</v>
      </c>
      <c r="B907" s="369" t="s">
        <v>1364</v>
      </c>
      <c r="C907" s="370"/>
      <c r="D907" s="370"/>
      <c r="E907" s="27">
        <v>0</v>
      </c>
      <c r="F907" s="27">
        <v>628297.85</v>
      </c>
      <c r="H907" s="27">
        <v>0</v>
      </c>
      <c r="J907" s="27">
        <v>628297.85</v>
      </c>
    </row>
    <row r="908" spans="1:10" ht="15.95" customHeight="1" x14ac:dyDescent="0.2">
      <c r="A908" s="33" t="s">
        <v>1365</v>
      </c>
      <c r="B908" s="369" t="s">
        <v>1366</v>
      </c>
      <c r="C908" s="370"/>
      <c r="D908" s="370"/>
      <c r="E908" s="27">
        <v>0</v>
      </c>
      <c r="F908" s="27">
        <v>12565.32</v>
      </c>
      <c r="H908" s="27">
        <v>0</v>
      </c>
      <c r="J908" s="27">
        <v>12565.32</v>
      </c>
    </row>
    <row r="909" spans="1:10" ht="15.95" customHeight="1" x14ac:dyDescent="0.2">
      <c r="A909" s="33" t="s">
        <v>1367</v>
      </c>
      <c r="B909" s="369" t="s">
        <v>1368</v>
      </c>
      <c r="C909" s="370"/>
      <c r="D909" s="370"/>
      <c r="E909" s="27">
        <v>0</v>
      </c>
      <c r="F909" s="27">
        <v>22482.48</v>
      </c>
      <c r="H909" s="27">
        <v>0</v>
      </c>
      <c r="J909" s="27">
        <v>22482.48</v>
      </c>
    </row>
    <row r="910" spans="1:10" ht="15.95" customHeight="1" x14ac:dyDescent="0.2">
      <c r="A910" s="33" t="s">
        <v>1369</v>
      </c>
      <c r="B910" s="369" t="s">
        <v>1370</v>
      </c>
      <c r="C910" s="370"/>
      <c r="D910" s="370"/>
      <c r="E910" s="27">
        <v>0</v>
      </c>
      <c r="F910" s="27">
        <v>84</v>
      </c>
      <c r="H910" s="27">
        <v>0</v>
      </c>
      <c r="J910" s="27">
        <v>84</v>
      </c>
    </row>
    <row r="911" spans="1:10" ht="15.95" customHeight="1" x14ac:dyDescent="0.2">
      <c r="A911" s="33" t="s">
        <v>1371</v>
      </c>
      <c r="B911" s="369" t="s">
        <v>1372</v>
      </c>
      <c r="C911" s="370"/>
      <c r="D911" s="370"/>
      <c r="E911" s="27">
        <v>0</v>
      </c>
      <c r="F911" s="27">
        <v>6776.8</v>
      </c>
      <c r="H911" s="27">
        <v>0</v>
      </c>
      <c r="J911" s="27">
        <v>6776.8</v>
      </c>
    </row>
    <row r="912" spans="1:10" ht="15.95" customHeight="1" x14ac:dyDescent="0.2">
      <c r="A912" s="33" t="s">
        <v>1373</v>
      </c>
      <c r="B912" s="369" t="s">
        <v>202</v>
      </c>
      <c r="C912" s="370"/>
      <c r="D912" s="370"/>
      <c r="E912" s="27">
        <v>0</v>
      </c>
      <c r="F912" s="27">
        <v>46352.14</v>
      </c>
      <c r="H912" s="27">
        <v>0</v>
      </c>
      <c r="J912" s="27">
        <v>46352.14</v>
      </c>
    </row>
    <row r="913" spans="1:10" ht="15.95" customHeight="1" x14ac:dyDescent="0.2">
      <c r="A913" s="33" t="s">
        <v>1374</v>
      </c>
      <c r="B913" s="369" t="s">
        <v>1375</v>
      </c>
      <c r="C913" s="370"/>
      <c r="D913" s="370"/>
      <c r="E913" s="27">
        <v>0</v>
      </c>
      <c r="F913" s="27">
        <v>26233.61</v>
      </c>
      <c r="H913" s="27">
        <v>29.24</v>
      </c>
      <c r="J913" s="27">
        <v>26204.37</v>
      </c>
    </row>
    <row r="914" spans="1:10" ht="15.95" customHeight="1" x14ac:dyDescent="0.2">
      <c r="A914" s="33" t="s">
        <v>1376</v>
      </c>
      <c r="B914" s="369" t="s">
        <v>1377</v>
      </c>
      <c r="C914" s="370"/>
      <c r="D914" s="370"/>
      <c r="E914" s="27">
        <v>0</v>
      </c>
      <c r="F914" s="27">
        <v>394</v>
      </c>
      <c r="H914" s="27">
        <v>0</v>
      </c>
      <c r="J914" s="27">
        <v>394</v>
      </c>
    </row>
    <row r="915" spans="1:10" ht="15.95" customHeight="1" x14ac:dyDescent="0.2">
      <c r="A915" s="33">
        <v>59</v>
      </c>
      <c r="B915" s="369" t="s">
        <v>1378</v>
      </c>
      <c r="C915" s="370"/>
      <c r="D915" s="370"/>
      <c r="E915" s="27">
        <v>0</v>
      </c>
      <c r="F915" s="27">
        <v>1949585.44</v>
      </c>
      <c r="H915" s="27">
        <v>273609.46000000002</v>
      </c>
      <c r="J915" s="27">
        <v>1675975.98</v>
      </c>
    </row>
    <row r="916" spans="1:10" ht="15.95" customHeight="1" x14ac:dyDescent="0.2">
      <c r="A916" s="33">
        <v>591</v>
      </c>
      <c r="B916" s="369" t="s">
        <v>1379</v>
      </c>
      <c r="C916" s="370"/>
      <c r="D916" s="370"/>
      <c r="E916" s="27">
        <v>0</v>
      </c>
      <c r="F916" s="27">
        <v>1949585.44</v>
      </c>
      <c r="H916" s="27">
        <v>273609.46000000002</v>
      </c>
      <c r="J916" s="27">
        <v>1675975.98</v>
      </c>
    </row>
    <row r="917" spans="1:10" ht="15.95" customHeight="1" x14ac:dyDescent="0.2">
      <c r="A917" s="33">
        <v>59101</v>
      </c>
      <c r="B917" s="369" t="s">
        <v>1380</v>
      </c>
      <c r="C917" s="370"/>
      <c r="D917" s="370"/>
      <c r="E917" s="27">
        <v>0</v>
      </c>
      <c r="F917" s="27">
        <v>1949585.44</v>
      </c>
      <c r="H917" s="27">
        <v>0</v>
      </c>
      <c r="J917" s="27">
        <v>1949585.44</v>
      </c>
    </row>
    <row r="918" spans="1:10" ht="15.95" customHeight="1" x14ac:dyDescent="0.2">
      <c r="A918" s="33">
        <v>5910101</v>
      </c>
      <c r="B918" s="369" t="s">
        <v>1380</v>
      </c>
      <c r="C918" s="370"/>
      <c r="D918" s="370"/>
      <c r="E918" s="27">
        <v>0</v>
      </c>
      <c r="F918" s="27">
        <v>1949585.44</v>
      </c>
      <c r="H918" s="27">
        <v>0</v>
      </c>
      <c r="J918" s="27">
        <v>1949585.44</v>
      </c>
    </row>
    <row r="919" spans="1:10" ht="15.95" customHeight="1" x14ac:dyDescent="0.2">
      <c r="A919" s="33" t="s">
        <v>1383</v>
      </c>
      <c r="B919" s="369" t="s">
        <v>1384</v>
      </c>
      <c r="C919" s="370"/>
      <c r="D919" s="370"/>
      <c r="E919" s="27">
        <v>0</v>
      </c>
      <c r="F919" s="27">
        <v>215724.78</v>
      </c>
      <c r="H919" s="27">
        <v>0</v>
      </c>
      <c r="J919" s="27">
        <v>215724.78</v>
      </c>
    </row>
    <row r="920" spans="1:10" ht="15.95" customHeight="1" x14ac:dyDescent="0.2">
      <c r="A920" s="33" t="s">
        <v>1385</v>
      </c>
      <c r="B920" s="369" t="s">
        <v>1386</v>
      </c>
      <c r="C920" s="370"/>
      <c r="D920" s="370"/>
      <c r="E920" s="27">
        <v>0</v>
      </c>
      <c r="F920" s="27">
        <v>132902.42000000001</v>
      </c>
      <c r="H920" s="27">
        <v>0</v>
      </c>
      <c r="J920" s="27">
        <v>132902.42000000001</v>
      </c>
    </row>
    <row r="921" spans="1:10" ht="15.95" customHeight="1" x14ac:dyDescent="0.2">
      <c r="A921" s="33" t="s">
        <v>1387</v>
      </c>
      <c r="B921" s="369" t="s">
        <v>1388</v>
      </c>
      <c r="C921" s="370"/>
      <c r="D921" s="370"/>
      <c r="E921" s="27">
        <v>0</v>
      </c>
      <c r="F921" s="27">
        <v>11928.01</v>
      </c>
      <c r="H921" s="27">
        <v>0</v>
      </c>
      <c r="J921" s="27">
        <v>11928.01</v>
      </c>
    </row>
    <row r="922" spans="1:10" ht="15.95" customHeight="1" x14ac:dyDescent="0.2">
      <c r="A922" s="33" t="s">
        <v>1389</v>
      </c>
      <c r="B922" s="369" t="s">
        <v>1390</v>
      </c>
      <c r="C922" s="370"/>
      <c r="D922" s="370"/>
      <c r="E922" s="27">
        <v>0</v>
      </c>
      <c r="F922" s="27">
        <v>1586034.23</v>
      </c>
      <c r="H922" s="27">
        <v>0</v>
      </c>
      <c r="J922" s="27">
        <v>1586034.23</v>
      </c>
    </row>
    <row r="923" spans="1:10" ht="15.95" customHeight="1" x14ac:dyDescent="0.2">
      <c r="A923" s="33" t="s">
        <v>1631</v>
      </c>
      <c r="B923" s="369" t="s">
        <v>1632</v>
      </c>
      <c r="C923" s="370"/>
      <c r="D923" s="370"/>
      <c r="E923" s="27">
        <v>0</v>
      </c>
      <c r="F923" s="27">
        <v>2996</v>
      </c>
      <c r="H923" s="27">
        <v>0</v>
      </c>
      <c r="J923" s="27">
        <v>2996</v>
      </c>
    </row>
    <row r="924" spans="1:10" ht="15.95" customHeight="1" x14ac:dyDescent="0.2">
      <c r="A924" s="33">
        <v>59102</v>
      </c>
      <c r="B924" s="369" t="s">
        <v>1391</v>
      </c>
      <c r="C924" s="370"/>
      <c r="D924" s="370"/>
      <c r="E924" s="27">
        <v>0</v>
      </c>
      <c r="F924" s="27">
        <v>0</v>
      </c>
      <c r="H924" s="27">
        <v>273609.46000000002</v>
      </c>
      <c r="J924" s="27">
        <v>-273609.46000000002</v>
      </c>
    </row>
    <row r="925" spans="1:10" ht="15.95" customHeight="1" x14ac:dyDescent="0.2">
      <c r="A925" s="33">
        <v>5910201</v>
      </c>
      <c r="B925" s="369" t="s">
        <v>1391</v>
      </c>
      <c r="C925" s="370"/>
      <c r="D925" s="370"/>
      <c r="E925" s="27">
        <v>0</v>
      </c>
      <c r="F925" s="27">
        <v>0</v>
      </c>
      <c r="H925" s="27">
        <v>273609.46000000002</v>
      </c>
      <c r="J925" s="27">
        <v>-273609.46000000002</v>
      </c>
    </row>
    <row r="926" spans="1:10" ht="15.95" customHeight="1" x14ac:dyDescent="0.2">
      <c r="A926" s="33" t="s">
        <v>1574</v>
      </c>
      <c r="B926" s="369" t="s">
        <v>1575</v>
      </c>
      <c r="C926" s="370"/>
      <c r="D926" s="370"/>
      <c r="E926" s="27">
        <v>0</v>
      </c>
      <c r="F926" s="27">
        <v>0</v>
      </c>
      <c r="H926" s="27">
        <v>72.010000000000005</v>
      </c>
      <c r="J926" s="27">
        <v>-72.010000000000005</v>
      </c>
    </row>
    <row r="927" spans="1:10" ht="15.95" customHeight="1" x14ac:dyDescent="0.2">
      <c r="A927" s="33" t="s">
        <v>1392</v>
      </c>
      <c r="B927" s="369" t="s">
        <v>1393</v>
      </c>
      <c r="C927" s="370"/>
      <c r="D927" s="370"/>
      <c r="E927" s="27">
        <v>0</v>
      </c>
      <c r="F927" s="27">
        <v>0</v>
      </c>
      <c r="H927" s="27">
        <v>192128.17</v>
      </c>
      <c r="J927" s="27">
        <v>-192128.17</v>
      </c>
    </row>
    <row r="928" spans="1:10" ht="15.95" customHeight="1" x14ac:dyDescent="0.2">
      <c r="A928" s="33" t="s">
        <v>1576</v>
      </c>
      <c r="B928" s="369" t="s">
        <v>1577</v>
      </c>
      <c r="C928" s="370"/>
      <c r="D928" s="370"/>
      <c r="E928" s="27">
        <v>0</v>
      </c>
      <c r="F928" s="27">
        <v>0</v>
      </c>
      <c r="H928" s="27">
        <v>938.87</v>
      </c>
      <c r="J928" s="27">
        <v>-938.87</v>
      </c>
    </row>
    <row r="929" spans="1:10" ht="15.95" customHeight="1" x14ac:dyDescent="0.2">
      <c r="A929" s="33" t="s">
        <v>1394</v>
      </c>
      <c r="B929" s="369" t="s">
        <v>1395</v>
      </c>
      <c r="C929" s="370"/>
      <c r="D929" s="370"/>
      <c r="E929" s="27">
        <v>0</v>
      </c>
      <c r="F929" s="27">
        <v>0</v>
      </c>
      <c r="H929" s="27">
        <v>65333.75</v>
      </c>
      <c r="J929" s="27">
        <v>-65333.75</v>
      </c>
    </row>
    <row r="930" spans="1:10" ht="15.95" customHeight="1" x14ac:dyDescent="0.2">
      <c r="A930" s="33" t="s">
        <v>1396</v>
      </c>
      <c r="B930" s="369" t="s">
        <v>1397</v>
      </c>
      <c r="C930" s="370"/>
      <c r="D930" s="370"/>
      <c r="E930" s="27">
        <v>0</v>
      </c>
      <c r="F930" s="27">
        <v>0</v>
      </c>
      <c r="H930" s="27">
        <v>14402.04</v>
      </c>
      <c r="J930" s="27">
        <v>-14402.04</v>
      </c>
    </row>
    <row r="931" spans="1:10" ht="15.95" customHeight="1" x14ac:dyDescent="0.2">
      <c r="A931" s="33" t="s">
        <v>1578</v>
      </c>
      <c r="B931" s="369" t="s">
        <v>1579</v>
      </c>
      <c r="C931" s="370"/>
      <c r="D931" s="370"/>
      <c r="E931" s="27">
        <v>0</v>
      </c>
      <c r="F931" s="27">
        <v>0</v>
      </c>
      <c r="H931" s="27">
        <v>734.62</v>
      </c>
      <c r="J931" s="27">
        <v>-734.62</v>
      </c>
    </row>
    <row r="932" spans="1:10" ht="15.95" customHeight="1" x14ac:dyDescent="0.2">
      <c r="A932" s="33">
        <v>6</v>
      </c>
      <c r="B932" s="369" t="s">
        <v>1400</v>
      </c>
      <c r="C932" s="370"/>
      <c r="D932" s="370"/>
      <c r="E932" s="27">
        <v>0</v>
      </c>
      <c r="F932" s="27">
        <v>294386.75</v>
      </c>
      <c r="H932" s="27">
        <v>539407.93999999994</v>
      </c>
      <c r="J932" s="27">
        <v>-245021.19</v>
      </c>
    </row>
    <row r="933" spans="1:10" ht="15.95" customHeight="1" x14ac:dyDescent="0.2">
      <c r="A933" s="33">
        <v>62</v>
      </c>
      <c r="B933" s="369" t="s">
        <v>1401</v>
      </c>
      <c r="C933" s="370"/>
      <c r="D933" s="370"/>
      <c r="E933" s="27">
        <v>0</v>
      </c>
      <c r="F933" s="27">
        <v>294386.75</v>
      </c>
      <c r="H933" s="27">
        <v>539407.93999999994</v>
      </c>
      <c r="J933" s="27">
        <v>-245021.19</v>
      </c>
    </row>
    <row r="934" spans="1:10" ht="15.95" customHeight="1" x14ac:dyDescent="0.2">
      <c r="A934" s="33">
        <v>621</v>
      </c>
      <c r="B934" s="369" t="s">
        <v>1402</v>
      </c>
      <c r="C934" s="370"/>
      <c r="D934" s="370"/>
      <c r="E934" s="27">
        <v>0</v>
      </c>
      <c r="F934" s="27">
        <v>0</v>
      </c>
      <c r="H934" s="27">
        <v>256268.08</v>
      </c>
      <c r="J934" s="27">
        <v>-256268.08</v>
      </c>
    </row>
    <row r="935" spans="1:10" ht="15.95" customHeight="1" x14ac:dyDescent="0.2">
      <c r="A935" s="33">
        <v>62101</v>
      </c>
      <c r="B935" s="369" t="s">
        <v>1403</v>
      </c>
      <c r="C935" s="370"/>
      <c r="D935" s="370"/>
      <c r="E935" s="27">
        <v>0</v>
      </c>
      <c r="F935" s="27">
        <v>0</v>
      </c>
      <c r="H935" s="27">
        <v>256268.08</v>
      </c>
      <c r="J935" s="27">
        <v>-256268.08</v>
      </c>
    </row>
    <row r="936" spans="1:10" ht="15.95" customHeight="1" x14ac:dyDescent="0.2">
      <c r="A936" s="33">
        <v>6210101</v>
      </c>
      <c r="B936" s="369" t="s">
        <v>1404</v>
      </c>
      <c r="C936" s="370"/>
      <c r="D936" s="370"/>
      <c r="E936" s="27">
        <v>0</v>
      </c>
      <c r="F936" s="27">
        <v>0</v>
      </c>
      <c r="H936" s="27">
        <v>256268.08</v>
      </c>
      <c r="J936" s="27">
        <v>-256268.08</v>
      </c>
    </row>
    <row r="937" spans="1:10" ht="15.95" customHeight="1" x14ac:dyDescent="0.2">
      <c r="A937" s="33" t="s">
        <v>1405</v>
      </c>
      <c r="B937" s="369" t="s">
        <v>1406</v>
      </c>
      <c r="C937" s="370"/>
      <c r="D937" s="370"/>
      <c r="E937" s="27">
        <v>0</v>
      </c>
      <c r="F937" s="27">
        <v>0</v>
      </c>
      <c r="H937" s="27">
        <v>25624.15</v>
      </c>
      <c r="J937" s="27">
        <v>-25624.15</v>
      </c>
    </row>
    <row r="938" spans="1:10" ht="15.95" customHeight="1" x14ac:dyDescent="0.2">
      <c r="A938" s="33" t="s">
        <v>1580</v>
      </c>
      <c r="B938" s="369" t="s">
        <v>1581</v>
      </c>
      <c r="C938" s="370"/>
      <c r="D938" s="370"/>
      <c r="E938" s="27">
        <v>0</v>
      </c>
      <c r="F938" s="27">
        <v>0</v>
      </c>
      <c r="H938" s="27">
        <v>42706.09</v>
      </c>
      <c r="J938" s="27">
        <v>-42706.09</v>
      </c>
    </row>
    <row r="939" spans="1:10" ht="15.95" customHeight="1" x14ac:dyDescent="0.2">
      <c r="A939" s="33" t="s">
        <v>1407</v>
      </c>
      <c r="B939" s="369" t="s">
        <v>1403</v>
      </c>
      <c r="C939" s="370"/>
      <c r="D939" s="370"/>
      <c r="E939" s="27">
        <v>0</v>
      </c>
      <c r="F939" s="27">
        <v>0</v>
      </c>
      <c r="H939" s="27">
        <v>142915.19</v>
      </c>
      <c r="J939" s="27">
        <v>-142915.19</v>
      </c>
    </row>
    <row r="940" spans="1:10" ht="15.95" customHeight="1" x14ac:dyDescent="0.2">
      <c r="A940" s="33" t="s">
        <v>1582</v>
      </c>
      <c r="B940" s="369" t="s">
        <v>1583</v>
      </c>
      <c r="C940" s="370"/>
      <c r="D940" s="370"/>
      <c r="E940" s="27">
        <v>0</v>
      </c>
      <c r="F940" s="27">
        <v>0</v>
      </c>
      <c r="H940" s="27">
        <v>45022.65</v>
      </c>
      <c r="J940" s="27">
        <v>-45022.65</v>
      </c>
    </row>
    <row r="941" spans="1:10" ht="15.95" customHeight="1" x14ac:dyDescent="0.2">
      <c r="A941" s="33">
        <v>624</v>
      </c>
      <c r="B941" s="369" t="s">
        <v>1410</v>
      </c>
      <c r="C941" s="370"/>
      <c r="D941" s="370"/>
      <c r="E941" s="27">
        <v>0</v>
      </c>
      <c r="F941" s="27">
        <v>114901.16</v>
      </c>
      <c r="H941" s="27">
        <v>178092.19</v>
      </c>
      <c r="J941" s="27">
        <v>-63191.03</v>
      </c>
    </row>
    <row r="942" spans="1:10" ht="15.95" customHeight="1" x14ac:dyDescent="0.2">
      <c r="A942" s="33">
        <v>62401</v>
      </c>
      <c r="B942" s="369" t="s">
        <v>1410</v>
      </c>
      <c r="C942" s="370"/>
      <c r="D942" s="370"/>
      <c r="E942" s="27">
        <v>0</v>
      </c>
      <c r="F942" s="27">
        <v>114901.16</v>
      </c>
      <c r="H942" s="27">
        <v>178092.19</v>
      </c>
      <c r="J942" s="27">
        <v>-63191.03</v>
      </c>
    </row>
    <row r="943" spans="1:10" ht="15.95" customHeight="1" x14ac:dyDescent="0.2">
      <c r="A943" s="33">
        <v>6240101</v>
      </c>
      <c r="B943" s="369" t="s">
        <v>1410</v>
      </c>
      <c r="C943" s="370"/>
      <c r="D943" s="370"/>
      <c r="E943" s="27">
        <v>0</v>
      </c>
      <c r="F943" s="27">
        <v>114901.16</v>
      </c>
      <c r="H943" s="27">
        <v>178092.19</v>
      </c>
      <c r="J943" s="27">
        <v>-63191.03</v>
      </c>
    </row>
    <row r="944" spans="1:10" ht="15.95" customHeight="1" x14ac:dyDescent="0.2">
      <c r="A944" s="33" t="s">
        <v>1584</v>
      </c>
      <c r="B944" s="369" t="s">
        <v>1585</v>
      </c>
      <c r="C944" s="370"/>
      <c r="D944" s="370"/>
      <c r="E944" s="27">
        <v>0</v>
      </c>
      <c r="F944" s="27">
        <v>114901.16</v>
      </c>
      <c r="H944" s="27">
        <v>178092.19</v>
      </c>
      <c r="J944" s="27">
        <v>-63191.03</v>
      </c>
    </row>
    <row r="945" spans="1:10" ht="15.95" customHeight="1" x14ac:dyDescent="0.2">
      <c r="A945" s="33">
        <v>625</v>
      </c>
      <c r="B945" s="369" t="s">
        <v>1413</v>
      </c>
      <c r="C945" s="370"/>
      <c r="D945" s="370"/>
      <c r="E945" s="27">
        <v>0</v>
      </c>
      <c r="F945" s="27">
        <v>179485.59</v>
      </c>
      <c r="H945" s="27">
        <v>105047.67</v>
      </c>
      <c r="J945" s="27">
        <v>74437.919999999998</v>
      </c>
    </row>
    <row r="946" spans="1:10" ht="15.95" customHeight="1" x14ac:dyDescent="0.2">
      <c r="A946" s="33">
        <v>62501</v>
      </c>
      <c r="B946" s="369" t="s">
        <v>1413</v>
      </c>
      <c r="C946" s="370"/>
      <c r="D946" s="370"/>
      <c r="E946" s="27">
        <v>0</v>
      </c>
      <c r="F946" s="27">
        <v>179485.59</v>
      </c>
      <c r="H946" s="27">
        <v>105047.67</v>
      </c>
      <c r="J946" s="27">
        <v>74437.919999999998</v>
      </c>
    </row>
    <row r="947" spans="1:10" ht="15.95" customHeight="1" x14ac:dyDescent="0.2">
      <c r="A947" s="33">
        <v>6250101</v>
      </c>
      <c r="B947" s="369" t="s">
        <v>1414</v>
      </c>
      <c r="C947" s="370"/>
      <c r="D947" s="370"/>
      <c r="E947" s="27">
        <v>0</v>
      </c>
      <c r="F947" s="27">
        <v>179485.59</v>
      </c>
      <c r="H947" s="27">
        <v>105047.67</v>
      </c>
      <c r="J947" s="27">
        <v>74437.919999999998</v>
      </c>
    </row>
    <row r="948" spans="1:10" ht="15.95" customHeight="1" x14ac:dyDescent="0.2">
      <c r="A948" s="33" t="s">
        <v>1415</v>
      </c>
      <c r="B948" s="369" t="s">
        <v>1416</v>
      </c>
      <c r="C948" s="370"/>
      <c r="D948" s="370"/>
      <c r="E948" s="27">
        <v>0</v>
      </c>
      <c r="F948" s="27">
        <v>169755.62</v>
      </c>
      <c r="H948" s="27">
        <v>105047.67</v>
      </c>
      <c r="J948" s="27">
        <v>64707.95</v>
      </c>
    </row>
    <row r="949" spans="1:10" ht="15.95" customHeight="1" x14ac:dyDescent="0.2">
      <c r="A949" s="33" t="s">
        <v>1417</v>
      </c>
      <c r="B949" s="369" t="s">
        <v>1418</v>
      </c>
      <c r="C949" s="370"/>
      <c r="D949" s="370"/>
      <c r="E949" s="27">
        <v>0</v>
      </c>
      <c r="F949" s="27">
        <v>9729.9699999999993</v>
      </c>
      <c r="H949" s="27">
        <v>0</v>
      </c>
      <c r="J949" s="27">
        <v>9729.9699999999993</v>
      </c>
    </row>
    <row r="950" spans="1:10" ht="15.95" customHeight="1" x14ac:dyDescent="0.2">
      <c r="A950" s="33">
        <v>7</v>
      </c>
      <c r="B950" s="369" t="s">
        <v>1586</v>
      </c>
      <c r="C950" s="370"/>
      <c r="D950" s="370"/>
      <c r="E950" s="27">
        <v>0</v>
      </c>
      <c r="F950" s="27">
        <v>5663856.9400000004</v>
      </c>
      <c r="H950" s="27">
        <v>1113623.3999999999</v>
      </c>
      <c r="J950" s="27">
        <v>4550233.54</v>
      </c>
    </row>
    <row r="951" spans="1:10" ht="15.95" customHeight="1" x14ac:dyDescent="0.2">
      <c r="A951" s="33">
        <v>71</v>
      </c>
      <c r="B951" s="369" t="s">
        <v>1586</v>
      </c>
      <c r="C951" s="370"/>
      <c r="D951" s="370"/>
      <c r="E951" s="27">
        <v>0</v>
      </c>
      <c r="F951" s="27">
        <v>5663856.9400000004</v>
      </c>
      <c r="H951" s="27">
        <v>1113623.3999999999</v>
      </c>
      <c r="J951" s="27">
        <v>4550233.54</v>
      </c>
    </row>
    <row r="952" spans="1:10" ht="15.95" customHeight="1" x14ac:dyDescent="0.2">
      <c r="A952" s="33">
        <v>712</v>
      </c>
      <c r="B952" s="369" t="s">
        <v>1587</v>
      </c>
      <c r="C952" s="370"/>
      <c r="D952" s="370"/>
      <c r="E952" s="27">
        <v>0</v>
      </c>
      <c r="F952" s="27">
        <v>5663856.9400000004</v>
      </c>
      <c r="H952" s="27">
        <v>1113623.3999999999</v>
      </c>
      <c r="J952" s="27">
        <v>4550233.54</v>
      </c>
    </row>
    <row r="953" spans="1:10" ht="15.95" customHeight="1" x14ac:dyDescent="0.2">
      <c r="A953" s="33">
        <v>71201</v>
      </c>
      <c r="B953" s="369" t="s">
        <v>1588</v>
      </c>
      <c r="C953" s="370"/>
      <c r="D953" s="370"/>
      <c r="E953" s="27">
        <v>0</v>
      </c>
      <c r="F953" s="27">
        <v>5663856.9400000004</v>
      </c>
      <c r="H953" s="27">
        <v>1113623.3999999999</v>
      </c>
      <c r="J953" s="27">
        <v>4550233.54</v>
      </c>
    </row>
    <row r="954" spans="1:10" ht="15.95" customHeight="1" x14ac:dyDescent="0.2">
      <c r="A954" s="33">
        <v>7120101</v>
      </c>
      <c r="B954" s="369" t="s">
        <v>1588</v>
      </c>
      <c r="C954" s="370"/>
      <c r="D954" s="370"/>
      <c r="E954" s="27">
        <v>0</v>
      </c>
      <c r="F954" s="27">
        <v>5663856.9400000004</v>
      </c>
      <c r="H954" s="27">
        <v>1113623.3999999999</v>
      </c>
      <c r="J954" s="27">
        <v>4550233.54</v>
      </c>
    </row>
    <row r="955" spans="1:10" ht="15.95" customHeight="1" x14ac:dyDescent="0.2">
      <c r="A955" s="33" t="s">
        <v>1589</v>
      </c>
      <c r="B955" s="369" t="s">
        <v>1590</v>
      </c>
      <c r="C955" s="370"/>
      <c r="D955" s="370"/>
      <c r="E955" s="27">
        <v>0</v>
      </c>
      <c r="F955" s="27">
        <v>5663856.9400000004</v>
      </c>
      <c r="H955" s="27">
        <v>1113623.3999999999</v>
      </c>
      <c r="J955" s="27">
        <v>4550233.54</v>
      </c>
    </row>
    <row r="956" spans="1:10" ht="15.95" customHeight="1" x14ac:dyDescent="0.2">
      <c r="A956" s="33">
        <v>9</v>
      </c>
      <c r="B956" s="369" t="s">
        <v>1419</v>
      </c>
      <c r="C956" s="370"/>
      <c r="D956" s="370"/>
      <c r="E956" s="27">
        <v>0</v>
      </c>
      <c r="F956" s="27">
        <v>0</v>
      </c>
      <c r="H956" s="27">
        <v>16295158.73</v>
      </c>
      <c r="J956" s="27">
        <v>-16295158.73</v>
      </c>
    </row>
    <row r="957" spans="1:10" ht="15.95" customHeight="1" x14ac:dyDescent="0.2">
      <c r="A957" s="33">
        <v>91</v>
      </c>
      <c r="B957" s="369" t="s">
        <v>1420</v>
      </c>
      <c r="C957" s="370"/>
      <c r="D957" s="370"/>
      <c r="E957" s="27">
        <v>0</v>
      </c>
      <c r="F957" s="27">
        <v>0</v>
      </c>
      <c r="H957" s="27">
        <v>16295158.73</v>
      </c>
      <c r="J957" s="27">
        <v>-16295158.73</v>
      </c>
    </row>
    <row r="958" spans="1:10" ht="15.95" customHeight="1" x14ac:dyDescent="0.2">
      <c r="A958" s="33">
        <v>911</v>
      </c>
      <c r="B958" s="369" t="s">
        <v>1421</v>
      </c>
      <c r="C958" s="370"/>
      <c r="D958" s="370"/>
      <c r="E958" s="27">
        <v>0</v>
      </c>
      <c r="F958" s="27">
        <v>0</v>
      </c>
      <c r="H958" s="27">
        <v>16295158.73</v>
      </c>
      <c r="J958" s="27">
        <v>-16295158.73</v>
      </c>
    </row>
    <row r="959" spans="1:10" ht="27.95" customHeight="1" x14ac:dyDescent="0.2">
      <c r="A959" s="33">
        <v>91101</v>
      </c>
      <c r="B959" s="369" t="s">
        <v>1110</v>
      </c>
      <c r="C959" s="370"/>
      <c r="D959" s="370"/>
      <c r="E959" s="27">
        <v>0</v>
      </c>
      <c r="F959" s="27">
        <v>0</v>
      </c>
      <c r="H959" s="27">
        <v>16295158.73</v>
      </c>
      <c r="J959" s="27">
        <v>-16295158.73</v>
      </c>
    </row>
    <row r="960" spans="1:10" ht="15.95" customHeight="1" x14ac:dyDescent="0.2">
      <c r="A960" s="401" t="s">
        <v>1441</v>
      </c>
      <c r="B960" s="370"/>
      <c r="C960" s="370"/>
      <c r="D960" s="102" t="s">
        <v>1744</v>
      </c>
      <c r="J960" s="103" t="s">
        <v>1745</v>
      </c>
    </row>
    <row r="961" spans="1:10" ht="20.100000000000001" customHeight="1" x14ac:dyDescent="0.2">
      <c r="A961" s="99" t="s">
        <v>1424</v>
      </c>
      <c r="J961" s="100" t="s">
        <v>1761</v>
      </c>
    </row>
    <row r="962" spans="1:10" ht="15.95" customHeight="1" x14ac:dyDescent="0.2">
      <c r="A962" s="33" t="s">
        <v>1739</v>
      </c>
      <c r="C962" s="33" t="s">
        <v>0</v>
      </c>
      <c r="J962" s="27" t="s">
        <v>1740</v>
      </c>
    </row>
    <row r="963" spans="1:10" ht="14.1" customHeight="1" x14ac:dyDescent="0.2">
      <c r="A963" s="101" t="s">
        <v>1741</v>
      </c>
      <c r="J963" s="27" t="s">
        <v>1742</v>
      </c>
    </row>
    <row r="964" spans="1:10" ht="15" customHeight="1" x14ac:dyDescent="0.2">
      <c r="A964" s="101" t="s">
        <v>1743</v>
      </c>
    </row>
    <row r="965" spans="1:10" ht="23.1" customHeight="1" x14ac:dyDescent="0.2">
      <c r="A965" s="23" t="s">
        <v>55</v>
      </c>
      <c r="B965" s="23" t="s">
        <v>56</v>
      </c>
      <c r="E965" s="24" t="s">
        <v>57</v>
      </c>
      <c r="F965" s="24" t="s">
        <v>58</v>
      </c>
      <c r="H965" s="24" t="s">
        <v>59</v>
      </c>
      <c r="J965" s="24" t="s">
        <v>60</v>
      </c>
    </row>
    <row r="966" spans="1:10" ht="15.95" customHeight="1" x14ac:dyDescent="0.2">
      <c r="A966" s="33">
        <v>9110101</v>
      </c>
      <c r="B966" s="369" t="s">
        <v>1110</v>
      </c>
      <c r="C966" s="370"/>
      <c r="D966" s="370"/>
      <c r="E966" s="27">
        <v>0</v>
      </c>
      <c r="F966" s="27">
        <v>0</v>
      </c>
      <c r="H966" s="27">
        <v>16295158.73</v>
      </c>
      <c r="J966" s="27">
        <v>-16295158.73</v>
      </c>
    </row>
    <row r="967" spans="1:10" ht="17.100000000000001" customHeight="1" x14ac:dyDescent="0.2">
      <c r="A967" s="33" t="s">
        <v>1422</v>
      </c>
      <c r="B967" s="369" t="s">
        <v>1110</v>
      </c>
      <c r="C967" s="370"/>
      <c r="D967" s="370"/>
      <c r="E967" s="27">
        <v>0</v>
      </c>
      <c r="F967" s="27">
        <v>0</v>
      </c>
      <c r="H967" s="27">
        <v>16295158.73</v>
      </c>
      <c r="J967" s="27">
        <v>-16295158.73</v>
      </c>
    </row>
    <row r="968" spans="1:10" ht="409.6" customHeight="1" x14ac:dyDescent="0.2">
      <c r="E968" s="27">
        <v>0</v>
      </c>
      <c r="F968" s="27">
        <v>279963143.01999998</v>
      </c>
      <c r="H968" s="27">
        <v>279963143.01999998</v>
      </c>
      <c r="J968" s="27">
        <v>0</v>
      </c>
    </row>
    <row r="969" spans="1:10" ht="15.95" customHeight="1" x14ac:dyDescent="0.2">
      <c r="A969" s="401" t="s">
        <v>1441</v>
      </c>
      <c r="B969" s="370"/>
      <c r="C969" s="370"/>
      <c r="D969" s="102" t="s">
        <v>1744</v>
      </c>
      <c r="J969" s="103" t="s">
        <v>1591</v>
      </c>
    </row>
  </sheetData>
  <mergeCells count="883">
    <mergeCell ref="B6:D6"/>
    <mergeCell ref="B7:D7"/>
    <mergeCell ref="B8:D8"/>
    <mergeCell ref="B9:D9"/>
    <mergeCell ref="B10:D10"/>
    <mergeCell ref="B11:D11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8:K79"/>
  <sheetViews>
    <sheetView showGridLines="0" topLeftCell="A43" zoomScale="84" zoomScaleNormal="84" workbookViewId="0">
      <selection activeCell="B105" sqref="B105"/>
    </sheetView>
  </sheetViews>
  <sheetFormatPr defaultRowHeight="12.75" x14ac:dyDescent="0.2"/>
  <cols>
    <col min="1" max="2" width="9.140625" style="77"/>
    <col min="3" max="3" width="46.85546875" style="77" customWidth="1"/>
    <col min="4" max="6" width="16.7109375" style="77" customWidth="1"/>
    <col min="7" max="7" width="13.42578125" style="77" customWidth="1"/>
    <col min="8" max="8" width="15.7109375" style="77" customWidth="1"/>
    <col min="9" max="9" width="15.28515625" style="77" customWidth="1"/>
    <col min="10" max="10" width="12.85546875" style="77" customWidth="1"/>
    <col min="11" max="11" width="13.42578125" style="77" bestFit="1" customWidth="1"/>
    <col min="12" max="254" width="9.140625" style="77"/>
    <col min="255" max="255" width="42.42578125" style="77" customWidth="1"/>
    <col min="256" max="262" width="16.7109375" style="77" customWidth="1"/>
    <col min="263" max="263" width="13.42578125" style="77" bestFit="1" customWidth="1"/>
    <col min="264" max="264" width="19.5703125" style="77" customWidth="1"/>
    <col min="265" max="510" width="9.140625" style="77"/>
    <col min="511" max="511" width="42.42578125" style="77" customWidth="1"/>
    <col min="512" max="518" width="16.7109375" style="77" customWidth="1"/>
    <col min="519" max="519" width="13.42578125" style="77" bestFit="1" customWidth="1"/>
    <col min="520" max="520" width="19.5703125" style="77" customWidth="1"/>
    <col min="521" max="766" width="9.140625" style="77"/>
    <col min="767" max="767" width="42.42578125" style="77" customWidth="1"/>
    <col min="768" max="774" width="16.7109375" style="77" customWidth="1"/>
    <col min="775" max="775" width="13.42578125" style="77" bestFit="1" customWidth="1"/>
    <col min="776" max="776" width="19.5703125" style="77" customWidth="1"/>
    <col min="777" max="1022" width="9.140625" style="77"/>
    <col min="1023" max="1023" width="42.42578125" style="77" customWidth="1"/>
    <col min="1024" max="1030" width="16.7109375" style="77" customWidth="1"/>
    <col min="1031" max="1031" width="13.42578125" style="77" bestFit="1" customWidth="1"/>
    <col min="1032" max="1032" width="19.5703125" style="77" customWidth="1"/>
    <col min="1033" max="1278" width="9.140625" style="77"/>
    <col min="1279" max="1279" width="42.42578125" style="77" customWidth="1"/>
    <col min="1280" max="1286" width="16.7109375" style="77" customWidth="1"/>
    <col min="1287" max="1287" width="13.42578125" style="77" bestFit="1" customWidth="1"/>
    <col min="1288" max="1288" width="19.5703125" style="77" customWidth="1"/>
    <col min="1289" max="1534" width="9.140625" style="77"/>
    <col min="1535" max="1535" width="42.42578125" style="77" customWidth="1"/>
    <col min="1536" max="1542" width="16.7109375" style="77" customWidth="1"/>
    <col min="1543" max="1543" width="13.42578125" style="77" bestFit="1" customWidth="1"/>
    <col min="1544" max="1544" width="19.5703125" style="77" customWidth="1"/>
    <col min="1545" max="1790" width="9.140625" style="77"/>
    <col min="1791" max="1791" width="42.42578125" style="77" customWidth="1"/>
    <col min="1792" max="1798" width="16.7109375" style="77" customWidth="1"/>
    <col min="1799" max="1799" width="13.42578125" style="77" bestFit="1" customWidth="1"/>
    <col min="1800" max="1800" width="19.5703125" style="77" customWidth="1"/>
    <col min="1801" max="2046" width="9.140625" style="77"/>
    <col min="2047" max="2047" width="42.42578125" style="77" customWidth="1"/>
    <col min="2048" max="2054" width="16.7109375" style="77" customWidth="1"/>
    <col min="2055" max="2055" width="13.42578125" style="77" bestFit="1" customWidth="1"/>
    <col min="2056" max="2056" width="19.5703125" style="77" customWidth="1"/>
    <col min="2057" max="2302" width="9.140625" style="77"/>
    <col min="2303" max="2303" width="42.42578125" style="77" customWidth="1"/>
    <col min="2304" max="2310" width="16.7109375" style="77" customWidth="1"/>
    <col min="2311" max="2311" width="13.42578125" style="77" bestFit="1" customWidth="1"/>
    <col min="2312" max="2312" width="19.5703125" style="77" customWidth="1"/>
    <col min="2313" max="2558" width="9.140625" style="77"/>
    <col min="2559" max="2559" width="42.42578125" style="77" customWidth="1"/>
    <col min="2560" max="2566" width="16.7109375" style="77" customWidth="1"/>
    <col min="2567" max="2567" width="13.42578125" style="77" bestFit="1" customWidth="1"/>
    <col min="2568" max="2568" width="19.5703125" style="77" customWidth="1"/>
    <col min="2569" max="2814" width="9.140625" style="77"/>
    <col min="2815" max="2815" width="42.42578125" style="77" customWidth="1"/>
    <col min="2816" max="2822" width="16.7109375" style="77" customWidth="1"/>
    <col min="2823" max="2823" width="13.42578125" style="77" bestFit="1" customWidth="1"/>
    <col min="2824" max="2824" width="19.5703125" style="77" customWidth="1"/>
    <col min="2825" max="3070" width="9.140625" style="77"/>
    <col min="3071" max="3071" width="42.42578125" style="77" customWidth="1"/>
    <col min="3072" max="3078" width="16.7109375" style="77" customWidth="1"/>
    <col min="3079" max="3079" width="13.42578125" style="77" bestFit="1" customWidth="1"/>
    <col min="3080" max="3080" width="19.5703125" style="77" customWidth="1"/>
    <col min="3081" max="3326" width="9.140625" style="77"/>
    <col min="3327" max="3327" width="42.42578125" style="77" customWidth="1"/>
    <col min="3328" max="3334" width="16.7109375" style="77" customWidth="1"/>
    <col min="3335" max="3335" width="13.42578125" style="77" bestFit="1" customWidth="1"/>
    <col min="3336" max="3336" width="19.5703125" style="77" customWidth="1"/>
    <col min="3337" max="3582" width="9.140625" style="77"/>
    <col min="3583" max="3583" width="42.42578125" style="77" customWidth="1"/>
    <col min="3584" max="3590" width="16.7109375" style="77" customWidth="1"/>
    <col min="3591" max="3591" width="13.42578125" style="77" bestFit="1" customWidth="1"/>
    <col min="3592" max="3592" width="19.5703125" style="77" customWidth="1"/>
    <col min="3593" max="3838" width="9.140625" style="77"/>
    <col min="3839" max="3839" width="42.42578125" style="77" customWidth="1"/>
    <col min="3840" max="3846" width="16.7109375" style="77" customWidth="1"/>
    <col min="3847" max="3847" width="13.42578125" style="77" bestFit="1" customWidth="1"/>
    <col min="3848" max="3848" width="19.5703125" style="77" customWidth="1"/>
    <col min="3849" max="4094" width="9.140625" style="77"/>
    <col min="4095" max="4095" width="42.42578125" style="77" customWidth="1"/>
    <col min="4096" max="4102" width="16.7109375" style="77" customWidth="1"/>
    <col min="4103" max="4103" width="13.42578125" style="77" bestFit="1" customWidth="1"/>
    <col min="4104" max="4104" width="19.5703125" style="77" customWidth="1"/>
    <col min="4105" max="4350" width="9.140625" style="77"/>
    <col min="4351" max="4351" width="42.42578125" style="77" customWidth="1"/>
    <col min="4352" max="4358" width="16.7109375" style="77" customWidth="1"/>
    <col min="4359" max="4359" width="13.42578125" style="77" bestFit="1" customWidth="1"/>
    <col min="4360" max="4360" width="19.5703125" style="77" customWidth="1"/>
    <col min="4361" max="4606" width="9.140625" style="77"/>
    <col min="4607" max="4607" width="42.42578125" style="77" customWidth="1"/>
    <col min="4608" max="4614" width="16.7109375" style="77" customWidth="1"/>
    <col min="4615" max="4615" width="13.42578125" style="77" bestFit="1" customWidth="1"/>
    <col min="4616" max="4616" width="19.5703125" style="77" customWidth="1"/>
    <col min="4617" max="4862" width="9.140625" style="77"/>
    <col min="4863" max="4863" width="42.42578125" style="77" customWidth="1"/>
    <col min="4864" max="4870" width="16.7109375" style="77" customWidth="1"/>
    <col min="4871" max="4871" width="13.42578125" style="77" bestFit="1" customWidth="1"/>
    <col min="4872" max="4872" width="19.5703125" style="77" customWidth="1"/>
    <col min="4873" max="5118" width="9.140625" style="77"/>
    <col min="5119" max="5119" width="42.42578125" style="77" customWidth="1"/>
    <col min="5120" max="5126" width="16.7109375" style="77" customWidth="1"/>
    <col min="5127" max="5127" width="13.42578125" style="77" bestFit="1" customWidth="1"/>
    <col min="5128" max="5128" width="19.5703125" style="77" customWidth="1"/>
    <col min="5129" max="5374" width="9.140625" style="77"/>
    <col min="5375" max="5375" width="42.42578125" style="77" customWidth="1"/>
    <col min="5376" max="5382" width="16.7109375" style="77" customWidth="1"/>
    <col min="5383" max="5383" width="13.42578125" style="77" bestFit="1" customWidth="1"/>
    <col min="5384" max="5384" width="19.5703125" style="77" customWidth="1"/>
    <col min="5385" max="5630" width="9.140625" style="77"/>
    <col min="5631" max="5631" width="42.42578125" style="77" customWidth="1"/>
    <col min="5632" max="5638" width="16.7109375" style="77" customWidth="1"/>
    <col min="5639" max="5639" width="13.42578125" style="77" bestFit="1" customWidth="1"/>
    <col min="5640" max="5640" width="19.5703125" style="77" customWidth="1"/>
    <col min="5641" max="5886" width="9.140625" style="77"/>
    <col min="5887" max="5887" width="42.42578125" style="77" customWidth="1"/>
    <col min="5888" max="5894" width="16.7109375" style="77" customWidth="1"/>
    <col min="5895" max="5895" width="13.42578125" style="77" bestFit="1" customWidth="1"/>
    <col min="5896" max="5896" width="19.5703125" style="77" customWidth="1"/>
    <col min="5897" max="6142" width="9.140625" style="77"/>
    <col min="6143" max="6143" width="42.42578125" style="77" customWidth="1"/>
    <col min="6144" max="6150" width="16.7109375" style="77" customWidth="1"/>
    <col min="6151" max="6151" width="13.42578125" style="77" bestFit="1" customWidth="1"/>
    <col min="6152" max="6152" width="19.5703125" style="77" customWidth="1"/>
    <col min="6153" max="6398" width="9.140625" style="77"/>
    <col min="6399" max="6399" width="42.42578125" style="77" customWidth="1"/>
    <col min="6400" max="6406" width="16.7109375" style="77" customWidth="1"/>
    <col min="6407" max="6407" width="13.42578125" style="77" bestFit="1" customWidth="1"/>
    <col min="6408" max="6408" width="19.5703125" style="77" customWidth="1"/>
    <col min="6409" max="6654" width="9.140625" style="77"/>
    <col min="6655" max="6655" width="42.42578125" style="77" customWidth="1"/>
    <col min="6656" max="6662" width="16.7109375" style="77" customWidth="1"/>
    <col min="6663" max="6663" width="13.42578125" style="77" bestFit="1" customWidth="1"/>
    <col min="6664" max="6664" width="19.5703125" style="77" customWidth="1"/>
    <col min="6665" max="6910" width="9.140625" style="77"/>
    <col min="6911" max="6911" width="42.42578125" style="77" customWidth="1"/>
    <col min="6912" max="6918" width="16.7109375" style="77" customWidth="1"/>
    <col min="6919" max="6919" width="13.42578125" style="77" bestFit="1" customWidth="1"/>
    <col min="6920" max="6920" width="19.5703125" style="77" customWidth="1"/>
    <col min="6921" max="7166" width="9.140625" style="77"/>
    <col min="7167" max="7167" width="42.42578125" style="77" customWidth="1"/>
    <col min="7168" max="7174" width="16.7109375" style="77" customWidth="1"/>
    <col min="7175" max="7175" width="13.42578125" style="77" bestFit="1" customWidth="1"/>
    <col min="7176" max="7176" width="19.5703125" style="77" customWidth="1"/>
    <col min="7177" max="7422" width="9.140625" style="77"/>
    <col min="7423" max="7423" width="42.42578125" style="77" customWidth="1"/>
    <col min="7424" max="7430" width="16.7109375" style="77" customWidth="1"/>
    <col min="7431" max="7431" width="13.42578125" style="77" bestFit="1" customWidth="1"/>
    <col min="7432" max="7432" width="19.5703125" style="77" customWidth="1"/>
    <col min="7433" max="7678" width="9.140625" style="77"/>
    <col min="7679" max="7679" width="42.42578125" style="77" customWidth="1"/>
    <col min="7680" max="7686" width="16.7109375" style="77" customWidth="1"/>
    <col min="7687" max="7687" width="13.42578125" style="77" bestFit="1" customWidth="1"/>
    <col min="7688" max="7688" width="19.5703125" style="77" customWidth="1"/>
    <col min="7689" max="7934" width="9.140625" style="77"/>
    <col min="7935" max="7935" width="42.42578125" style="77" customWidth="1"/>
    <col min="7936" max="7942" width="16.7109375" style="77" customWidth="1"/>
    <col min="7943" max="7943" width="13.42578125" style="77" bestFit="1" customWidth="1"/>
    <col min="7944" max="7944" width="19.5703125" style="77" customWidth="1"/>
    <col min="7945" max="8190" width="9.140625" style="77"/>
    <col min="8191" max="8191" width="42.42578125" style="77" customWidth="1"/>
    <col min="8192" max="8198" width="16.7109375" style="77" customWidth="1"/>
    <col min="8199" max="8199" width="13.42578125" style="77" bestFit="1" customWidth="1"/>
    <col min="8200" max="8200" width="19.5703125" style="77" customWidth="1"/>
    <col min="8201" max="8446" width="9.140625" style="77"/>
    <col min="8447" max="8447" width="42.42578125" style="77" customWidth="1"/>
    <col min="8448" max="8454" width="16.7109375" style="77" customWidth="1"/>
    <col min="8455" max="8455" width="13.42578125" style="77" bestFit="1" customWidth="1"/>
    <col min="8456" max="8456" width="19.5703125" style="77" customWidth="1"/>
    <col min="8457" max="8702" width="9.140625" style="77"/>
    <col min="8703" max="8703" width="42.42578125" style="77" customWidth="1"/>
    <col min="8704" max="8710" width="16.7109375" style="77" customWidth="1"/>
    <col min="8711" max="8711" width="13.42578125" style="77" bestFit="1" customWidth="1"/>
    <col min="8712" max="8712" width="19.5703125" style="77" customWidth="1"/>
    <col min="8713" max="8958" width="9.140625" style="77"/>
    <col min="8959" max="8959" width="42.42578125" style="77" customWidth="1"/>
    <col min="8960" max="8966" width="16.7109375" style="77" customWidth="1"/>
    <col min="8967" max="8967" width="13.42578125" style="77" bestFit="1" customWidth="1"/>
    <col min="8968" max="8968" width="19.5703125" style="77" customWidth="1"/>
    <col min="8969" max="9214" width="9.140625" style="77"/>
    <col min="9215" max="9215" width="42.42578125" style="77" customWidth="1"/>
    <col min="9216" max="9222" width="16.7109375" style="77" customWidth="1"/>
    <col min="9223" max="9223" width="13.42578125" style="77" bestFit="1" customWidth="1"/>
    <col min="9224" max="9224" width="19.5703125" style="77" customWidth="1"/>
    <col min="9225" max="9470" width="9.140625" style="77"/>
    <col min="9471" max="9471" width="42.42578125" style="77" customWidth="1"/>
    <col min="9472" max="9478" width="16.7109375" style="77" customWidth="1"/>
    <col min="9479" max="9479" width="13.42578125" style="77" bestFit="1" customWidth="1"/>
    <col min="9480" max="9480" width="19.5703125" style="77" customWidth="1"/>
    <col min="9481" max="9726" width="9.140625" style="77"/>
    <col min="9727" max="9727" width="42.42578125" style="77" customWidth="1"/>
    <col min="9728" max="9734" width="16.7109375" style="77" customWidth="1"/>
    <col min="9735" max="9735" width="13.42578125" style="77" bestFit="1" customWidth="1"/>
    <col min="9736" max="9736" width="19.5703125" style="77" customWidth="1"/>
    <col min="9737" max="9982" width="9.140625" style="77"/>
    <col min="9983" max="9983" width="42.42578125" style="77" customWidth="1"/>
    <col min="9984" max="9990" width="16.7109375" style="77" customWidth="1"/>
    <col min="9991" max="9991" width="13.42578125" style="77" bestFit="1" customWidth="1"/>
    <col min="9992" max="9992" width="19.5703125" style="77" customWidth="1"/>
    <col min="9993" max="10238" width="9.140625" style="77"/>
    <col min="10239" max="10239" width="42.42578125" style="77" customWidth="1"/>
    <col min="10240" max="10246" width="16.7109375" style="77" customWidth="1"/>
    <col min="10247" max="10247" width="13.42578125" style="77" bestFit="1" customWidth="1"/>
    <col min="10248" max="10248" width="19.5703125" style="77" customWidth="1"/>
    <col min="10249" max="10494" width="9.140625" style="77"/>
    <col min="10495" max="10495" width="42.42578125" style="77" customWidth="1"/>
    <col min="10496" max="10502" width="16.7109375" style="77" customWidth="1"/>
    <col min="10503" max="10503" width="13.42578125" style="77" bestFit="1" customWidth="1"/>
    <col min="10504" max="10504" width="19.5703125" style="77" customWidth="1"/>
    <col min="10505" max="10750" width="9.140625" style="77"/>
    <col min="10751" max="10751" width="42.42578125" style="77" customWidth="1"/>
    <col min="10752" max="10758" width="16.7109375" style="77" customWidth="1"/>
    <col min="10759" max="10759" width="13.42578125" style="77" bestFit="1" customWidth="1"/>
    <col min="10760" max="10760" width="19.5703125" style="77" customWidth="1"/>
    <col min="10761" max="11006" width="9.140625" style="77"/>
    <col min="11007" max="11007" width="42.42578125" style="77" customWidth="1"/>
    <col min="11008" max="11014" width="16.7109375" style="77" customWidth="1"/>
    <col min="11015" max="11015" width="13.42578125" style="77" bestFit="1" customWidth="1"/>
    <col min="11016" max="11016" width="19.5703125" style="77" customWidth="1"/>
    <col min="11017" max="11262" width="9.140625" style="77"/>
    <col min="11263" max="11263" width="42.42578125" style="77" customWidth="1"/>
    <col min="11264" max="11270" width="16.7109375" style="77" customWidth="1"/>
    <col min="11271" max="11271" width="13.42578125" style="77" bestFit="1" customWidth="1"/>
    <col min="11272" max="11272" width="19.5703125" style="77" customWidth="1"/>
    <col min="11273" max="11518" width="9.140625" style="77"/>
    <col min="11519" max="11519" width="42.42578125" style="77" customWidth="1"/>
    <col min="11520" max="11526" width="16.7109375" style="77" customWidth="1"/>
    <col min="11527" max="11527" width="13.42578125" style="77" bestFit="1" customWidth="1"/>
    <col min="11528" max="11528" width="19.5703125" style="77" customWidth="1"/>
    <col min="11529" max="11774" width="9.140625" style="77"/>
    <col min="11775" max="11775" width="42.42578125" style="77" customWidth="1"/>
    <col min="11776" max="11782" width="16.7109375" style="77" customWidth="1"/>
    <col min="11783" max="11783" width="13.42578125" style="77" bestFit="1" customWidth="1"/>
    <col min="11784" max="11784" width="19.5703125" style="77" customWidth="1"/>
    <col min="11785" max="12030" width="9.140625" style="77"/>
    <col min="12031" max="12031" width="42.42578125" style="77" customWidth="1"/>
    <col min="12032" max="12038" width="16.7109375" style="77" customWidth="1"/>
    <col min="12039" max="12039" width="13.42578125" style="77" bestFit="1" customWidth="1"/>
    <col min="12040" max="12040" width="19.5703125" style="77" customWidth="1"/>
    <col min="12041" max="12286" width="9.140625" style="77"/>
    <col min="12287" max="12287" width="42.42578125" style="77" customWidth="1"/>
    <col min="12288" max="12294" width="16.7109375" style="77" customWidth="1"/>
    <col min="12295" max="12295" width="13.42578125" style="77" bestFit="1" customWidth="1"/>
    <col min="12296" max="12296" width="19.5703125" style="77" customWidth="1"/>
    <col min="12297" max="12542" width="9.140625" style="77"/>
    <col min="12543" max="12543" width="42.42578125" style="77" customWidth="1"/>
    <col min="12544" max="12550" width="16.7109375" style="77" customWidth="1"/>
    <col min="12551" max="12551" width="13.42578125" style="77" bestFit="1" customWidth="1"/>
    <col min="12552" max="12552" width="19.5703125" style="77" customWidth="1"/>
    <col min="12553" max="12798" width="9.140625" style="77"/>
    <col min="12799" max="12799" width="42.42578125" style="77" customWidth="1"/>
    <col min="12800" max="12806" width="16.7109375" style="77" customWidth="1"/>
    <col min="12807" max="12807" width="13.42578125" style="77" bestFit="1" customWidth="1"/>
    <col min="12808" max="12808" width="19.5703125" style="77" customWidth="1"/>
    <col min="12809" max="13054" width="9.140625" style="77"/>
    <col min="13055" max="13055" width="42.42578125" style="77" customWidth="1"/>
    <col min="13056" max="13062" width="16.7109375" style="77" customWidth="1"/>
    <col min="13063" max="13063" width="13.42578125" style="77" bestFit="1" customWidth="1"/>
    <col min="13064" max="13064" width="19.5703125" style="77" customWidth="1"/>
    <col min="13065" max="13310" width="9.140625" style="77"/>
    <col min="13311" max="13311" width="42.42578125" style="77" customWidth="1"/>
    <col min="13312" max="13318" width="16.7109375" style="77" customWidth="1"/>
    <col min="13319" max="13319" width="13.42578125" style="77" bestFit="1" customWidth="1"/>
    <col min="13320" max="13320" width="19.5703125" style="77" customWidth="1"/>
    <col min="13321" max="13566" width="9.140625" style="77"/>
    <col min="13567" max="13567" width="42.42578125" style="77" customWidth="1"/>
    <col min="13568" max="13574" width="16.7109375" style="77" customWidth="1"/>
    <col min="13575" max="13575" width="13.42578125" style="77" bestFit="1" customWidth="1"/>
    <col min="13576" max="13576" width="19.5703125" style="77" customWidth="1"/>
    <col min="13577" max="13822" width="9.140625" style="77"/>
    <col min="13823" max="13823" width="42.42578125" style="77" customWidth="1"/>
    <col min="13824" max="13830" width="16.7109375" style="77" customWidth="1"/>
    <col min="13831" max="13831" width="13.42578125" style="77" bestFit="1" customWidth="1"/>
    <col min="13832" max="13832" width="19.5703125" style="77" customWidth="1"/>
    <col min="13833" max="14078" width="9.140625" style="77"/>
    <col min="14079" max="14079" width="42.42578125" style="77" customWidth="1"/>
    <col min="14080" max="14086" width="16.7109375" style="77" customWidth="1"/>
    <col min="14087" max="14087" width="13.42578125" style="77" bestFit="1" customWidth="1"/>
    <col min="14088" max="14088" width="19.5703125" style="77" customWidth="1"/>
    <col min="14089" max="14334" width="9.140625" style="77"/>
    <col min="14335" max="14335" width="42.42578125" style="77" customWidth="1"/>
    <col min="14336" max="14342" width="16.7109375" style="77" customWidth="1"/>
    <col min="14343" max="14343" width="13.42578125" style="77" bestFit="1" customWidth="1"/>
    <col min="14344" max="14344" width="19.5703125" style="77" customWidth="1"/>
    <col min="14345" max="14590" width="9.140625" style="77"/>
    <col min="14591" max="14591" width="42.42578125" style="77" customWidth="1"/>
    <col min="14592" max="14598" width="16.7109375" style="77" customWidth="1"/>
    <col min="14599" max="14599" width="13.42578125" style="77" bestFit="1" customWidth="1"/>
    <col min="14600" max="14600" width="19.5703125" style="77" customWidth="1"/>
    <col min="14601" max="14846" width="9.140625" style="77"/>
    <col min="14847" max="14847" width="42.42578125" style="77" customWidth="1"/>
    <col min="14848" max="14854" width="16.7109375" style="77" customWidth="1"/>
    <col min="14855" max="14855" width="13.42578125" style="77" bestFit="1" customWidth="1"/>
    <col min="14856" max="14856" width="19.5703125" style="77" customWidth="1"/>
    <col min="14857" max="15102" width="9.140625" style="77"/>
    <col min="15103" max="15103" width="42.42578125" style="77" customWidth="1"/>
    <col min="15104" max="15110" width="16.7109375" style="77" customWidth="1"/>
    <col min="15111" max="15111" width="13.42578125" style="77" bestFit="1" customWidth="1"/>
    <col min="15112" max="15112" width="19.5703125" style="77" customWidth="1"/>
    <col min="15113" max="15358" width="9.140625" style="77"/>
    <col min="15359" max="15359" width="42.42578125" style="77" customWidth="1"/>
    <col min="15360" max="15366" width="16.7109375" style="77" customWidth="1"/>
    <col min="15367" max="15367" width="13.42578125" style="77" bestFit="1" customWidth="1"/>
    <col min="15368" max="15368" width="19.5703125" style="77" customWidth="1"/>
    <col min="15369" max="15614" width="9.140625" style="77"/>
    <col min="15615" max="15615" width="42.42578125" style="77" customWidth="1"/>
    <col min="15616" max="15622" width="16.7109375" style="77" customWidth="1"/>
    <col min="15623" max="15623" width="13.42578125" style="77" bestFit="1" customWidth="1"/>
    <col min="15624" max="15624" width="19.5703125" style="77" customWidth="1"/>
    <col min="15625" max="15870" width="9.140625" style="77"/>
    <col min="15871" max="15871" width="42.42578125" style="77" customWidth="1"/>
    <col min="15872" max="15878" width="16.7109375" style="77" customWidth="1"/>
    <col min="15879" max="15879" width="13.42578125" style="77" bestFit="1" customWidth="1"/>
    <col min="15880" max="15880" width="19.5703125" style="77" customWidth="1"/>
    <col min="15881" max="16126" width="9.140625" style="77"/>
    <col min="16127" max="16127" width="42.42578125" style="77" customWidth="1"/>
    <col min="16128" max="16134" width="16.7109375" style="77" customWidth="1"/>
    <col min="16135" max="16135" width="13.42578125" style="77" bestFit="1" customWidth="1"/>
    <col min="16136" max="16136" width="19.5703125" style="77" customWidth="1"/>
    <col min="16137" max="16384" width="9.140625" style="77"/>
  </cols>
  <sheetData>
    <row r="8" spans="3:10" hidden="1" x14ac:dyDescent="0.2"/>
    <row r="14" spans="3:10" x14ac:dyDescent="0.2">
      <c r="C14" s="403" t="s">
        <v>0</v>
      </c>
      <c r="D14" s="403"/>
      <c r="E14" s="403"/>
      <c r="F14" s="403"/>
      <c r="G14" s="403"/>
      <c r="H14" s="403"/>
      <c r="I14" s="403"/>
      <c r="J14" s="403"/>
    </row>
    <row r="15" spans="3:10" x14ac:dyDescent="0.2">
      <c r="C15" s="403" t="s">
        <v>1</v>
      </c>
      <c r="D15" s="403"/>
      <c r="E15" s="403"/>
      <c r="F15" s="403"/>
      <c r="G15" s="403"/>
      <c r="H15" s="403"/>
      <c r="I15" s="403"/>
      <c r="J15" s="403"/>
    </row>
    <row r="16" spans="3:10" x14ac:dyDescent="0.2">
      <c r="C16" s="78"/>
      <c r="D16" s="78"/>
      <c r="E16" s="78"/>
      <c r="F16" s="78"/>
      <c r="G16" s="78"/>
      <c r="H16" s="78"/>
      <c r="I16" s="78"/>
      <c r="J16" s="78"/>
    </row>
    <row r="17" spans="3:11" x14ac:dyDescent="0.2">
      <c r="C17" s="403" t="s">
        <v>2</v>
      </c>
      <c r="D17" s="403"/>
      <c r="E17" s="403"/>
      <c r="F17" s="403"/>
      <c r="G17" s="403"/>
      <c r="H17" s="403"/>
      <c r="I17" s="403"/>
      <c r="J17" s="403"/>
    </row>
    <row r="18" spans="3:11" x14ac:dyDescent="0.2">
      <c r="C18" s="79"/>
      <c r="D18" s="79"/>
      <c r="E18" s="79"/>
      <c r="F18" s="79"/>
      <c r="G18" s="79"/>
      <c r="H18" s="79"/>
      <c r="I18" s="79"/>
      <c r="J18" s="79"/>
    </row>
    <row r="19" spans="3:11" x14ac:dyDescent="0.2">
      <c r="C19" s="403" t="s">
        <v>1762</v>
      </c>
      <c r="D19" s="403"/>
      <c r="E19" s="403"/>
      <c r="F19" s="403"/>
      <c r="G19" s="403"/>
      <c r="H19" s="403"/>
      <c r="I19" s="403"/>
      <c r="J19" s="403"/>
    </row>
    <row r="20" spans="3:11" x14ac:dyDescent="0.2">
      <c r="C20" s="403" t="s">
        <v>1905</v>
      </c>
      <c r="D20" s="403"/>
      <c r="E20" s="403"/>
      <c r="F20" s="403"/>
      <c r="G20" s="403"/>
      <c r="H20" s="403"/>
      <c r="I20" s="403"/>
      <c r="J20" s="403"/>
    </row>
    <row r="21" spans="3:11" x14ac:dyDescent="0.2">
      <c r="C21" s="404" t="s">
        <v>3</v>
      </c>
      <c r="D21" s="404"/>
      <c r="E21" s="404"/>
      <c r="F21" s="404"/>
      <c r="G21" s="404"/>
      <c r="H21" s="404"/>
      <c r="I21" s="404"/>
      <c r="J21" s="405"/>
      <c r="K21" s="80"/>
    </row>
    <row r="22" spans="3:11" x14ac:dyDescent="0.2">
      <c r="C22" s="81"/>
      <c r="D22" s="81"/>
      <c r="E22" s="81"/>
      <c r="F22" s="81"/>
      <c r="G22" s="81"/>
      <c r="H22" s="81"/>
      <c r="I22" s="81"/>
      <c r="J22" s="81"/>
      <c r="K22" s="80"/>
    </row>
    <row r="23" spans="3:11" x14ac:dyDescent="0.2">
      <c r="C23" s="80"/>
      <c r="D23" s="80"/>
      <c r="E23" s="80"/>
      <c r="F23" s="80"/>
      <c r="G23" s="80"/>
      <c r="H23" s="80"/>
      <c r="I23" s="80"/>
      <c r="J23" s="82"/>
      <c r="K23" s="80"/>
    </row>
    <row r="24" spans="3:11" ht="18" customHeight="1" x14ac:dyDescent="0.2">
      <c r="C24" s="83"/>
      <c r="D24" s="402" t="s">
        <v>1763</v>
      </c>
      <c r="E24" s="402"/>
      <c r="F24" s="84" t="s">
        <v>1764</v>
      </c>
      <c r="G24" s="84" t="s">
        <v>1765</v>
      </c>
      <c r="H24" s="84" t="s">
        <v>1766</v>
      </c>
      <c r="I24" s="84" t="s">
        <v>1767</v>
      </c>
      <c r="J24" s="84" t="s">
        <v>1669</v>
      </c>
      <c r="K24" s="80"/>
    </row>
    <row r="25" spans="3:11" ht="18" customHeight="1" x14ac:dyDescent="0.2">
      <c r="C25" s="85" t="s">
        <v>1768</v>
      </c>
      <c r="D25" s="176" t="s">
        <v>1081</v>
      </c>
      <c r="E25" s="176" t="s">
        <v>1769</v>
      </c>
      <c r="F25" s="86" t="s">
        <v>1770</v>
      </c>
      <c r="G25" s="86" t="s">
        <v>1771</v>
      </c>
      <c r="H25" s="86" t="s">
        <v>1772</v>
      </c>
      <c r="I25" s="86" t="s">
        <v>1773</v>
      </c>
      <c r="J25" s="86" t="s">
        <v>1774</v>
      </c>
      <c r="K25" s="80"/>
    </row>
    <row r="26" spans="3:11" ht="18" hidden="1" customHeight="1" x14ac:dyDescent="0.2">
      <c r="C26" s="87" t="s">
        <v>1775</v>
      </c>
      <c r="D26" s="88">
        <v>332557.57377999998</v>
      </c>
      <c r="E26" s="88">
        <v>220.59949</v>
      </c>
      <c r="F26" s="88">
        <v>0</v>
      </c>
      <c r="G26" s="88">
        <v>1295.83853</v>
      </c>
      <c r="H26" s="88">
        <v>0</v>
      </c>
      <c r="I26" s="89">
        <v>-59459.460169999998</v>
      </c>
      <c r="J26" s="88">
        <f t="shared" ref="J26:J31" si="0">SUM(D26:I26)</f>
        <v>274614.55163</v>
      </c>
      <c r="K26" s="80"/>
    </row>
    <row r="27" spans="3:11" ht="18" hidden="1" customHeight="1" x14ac:dyDescent="0.2">
      <c r="C27" s="90" t="s">
        <v>1776</v>
      </c>
      <c r="D27" s="91">
        <v>0</v>
      </c>
      <c r="E27" s="91">
        <v>0</v>
      </c>
      <c r="F27" s="91">
        <v>0</v>
      </c>
      <c r="G27" s="92">
        <v>0</v>
      </c>
      <c r="H27" s="92">
        <v>0</v>
      </c>
      <c r="I27" s="93">
        <v>-14744.94292</v>
      </c>
      <c r="J27" s="88">
        <f t="shared" si="0"/>
        <v>-14744.94292</v>
      </c>
      <c r="K27" s="80"/>
    </row>
    <row r="28" spans="3:11" ht="18" hidden="1" customHeight="1" x14ac:dyDescent="0.2">
      <c r="C28" s="90" t="s">
        <v>48</v>
      </c>
      <c r="D28" s="91">
        <v>0</v>
      </c>
      <c r="E28" s="91">
        <v>0</v>
      </c>
      <c r="F28" s="91">
        <v>0</v>
      </c>
      <c r="G28" s="91">
        <v>82.966909999999999</v>
      </c>
      <c r="H28" s="92">
        <v>0</v>
      </c>
      <c r="I28" s="92">
        <v>0</v>
      </c>
      <c r="J28" s="88">
        <f t="shared" si="0"/>
        <v>82.966909999999999</v>
      </c>
      <c r="K28" s="80"/>
    </row>
    <row r="29" spans="3:11" ht="18" hidden="1" customHeight="1" x14ac:dyDescent="0.2">
      <c r="C29" s="90" t="s">
        <v>1777</v>
      </c>
      <c r="D29" s="91">
        <v>0</v>
      </c>
      <c r="E29" s="91">
        <v>0</v>
      </c>
      <c r="F29" s="88"/>
      <c r="G29" s="92">
        <v>0</v>
      </c>
      <c r="H29" s="92">
        <v>0</v>
      </c>
      <c r="I29" s="92">
        <v>71.351209999999995</v>
      </c>
      <c r="J29" s="88">
        <f>SUM(D29:I29)</f>
        <v>71.351209999999995</v>
      </c>
      <c r="K29" s="80"/>
    </row>
    <row r="30" spans="3:11" ht="18" hidden="1" customHeight="1" x14ac:dyDescent="0.2">
      <c r="C30" s="90" t="s">
        <v>1778</v>
      </c>
      <c r="D30" s="91"/>
      <c r="E30" s="91"/>
      <c r="F30" s="88">
        <f>8546.60666</f>
        <v>8546.6066599999995</v>
      </c>
      <c r="G30" s="92"/>
      <c r="H30" s="92">
        <v>0</v>
      </c>
      <c r="I30" s="91"/>
      <c r="J30" s="88">
        <f t="shared" si="0"/>
        <v>8546.6066599999995</v>
      </c>
      <c r="K30" s="80"/>
    </row>
    <row r="31" spans="3:11" ht="18" hidden="1" customHeight="1" x14ac:dyDescent="0.2">
      <c r="C31" s="90" t="s">
        <v>1779</v>
      </c>
      <c r="D31" s="91">
        <v>0</v>
      </c>
      <c r="E31" s="91">
        <v>0</v>
      </c>
      <c r="F31" s="91">
        <v>0</v>
      </c>
      <c r="G31" s="92">
        <v>0</v>
      </c>
      <c r="H31" s="91">
        <v>-2783.57744</v>
      </c>
      <c r="I31" s="92">
        <v>0</v>
      </c>
      <c r="J31" s="88">
        <f t="shared" si="0"/>
        <v>-2783.57744</v>
      </c>
      <c r="K31" s="80"/>
    </row>
    <row r="32" spans="3:11" ht="18" customHeight="1" x14ac:dyDescent="0.2">
      <c r="C32" s="87" t="s">
        <v>1780</v>
      </c>
      <c r="D32" s="88">
        <f t="shared" ref="D32:J32" si="1">SUM(D26:D31)</f>
        <v>332557.57377999998</v>
      </c>
      <c r="E32" s="88">
        <f t="shared" si="1"/>
        <v>220.59949</v>
      </c>
      <c r="F32" s="88">
        <f t="shared" si="1"/>
        <v>8546.6066599999995</v>
      </c>
      <c r="G32" s="88">
        <f t="shared" si="1"/>
        <v>1378.8054400000001</v>
      </c>
      <c r="H32" s="88">
        <f t="shared" si="1"/>
        <v>-2783.57744</v>
      </c>
      <c r="I32" s="88">
        <f t="shared" si="1"/>
        <v>-74133.051879999999</v>
      </c>
      <c r="J32" s="88">
        <f t="shared" si="1"/>
        <v>265786.95604999998</v>
      </c>
      <c r="K32" s="80"/>
    </row>
    <row r="33" spans="3:11" ht="18" customHeight="1" x14ac:dyDescent="0.2">
      <c r="C33" s="90" t="s">
        <v>1781</v>
      </c>
      <c r="D33" s="92">
        <f>(273137529.44-332557573.78)/1000</f>
        <v>-59420.044339999971</v>
      </c>
      <c r="E33" s="92">
        <f>(181183.66-220599.49)/1000</f>
        <v>-39.415829999999985</v>
      </c>
      <c r="F33" s="92">
        <v>0</v>
      </c>
      <c r="G33" s="92">
        <v>0</v>
      </c>
      <c r="H33" s="92">
        <v>0</v>
      </c>
      <c r="I33" s="92">
        <f>-(273318713.1-332778173.27)/1000</f>
        <v>59459.460169999955</v>
      </c>
      <c r="J33" s="94">
        <f>SUM(D33:I33)</f>
        <v>0</v>
      </c>
      <c r="K33" s="95"/>
    </row>
    <row r="34" spans="3:11" ht="18" customHeight="1" x14ac:dyDescent="0.2">
      <c r="C34" s="90" t="s">
        <v>1782</v>
      </c>
      <c r="D34" s="91">
        <v>0</v>
      </c>
      <c r="E34" s="91">
        <v>0</v>
      </c>
      <c r="F34" s="91">
        <v>0</v>
      </c>
      <c r="G34" s="92">
        <v>0</v>
      </c>
      <c r="H34" s="92">
        <v>0</v>
      </c>
      <c r="I34" s="93">
        <f>-'[1]ACUM 2019 (2)'!J709/1000</f>
        <v>-16295.158730000001</v>
      </c>
      <c r="J34" s="94">
        <f>SUM(D34:I34)</f>
        <v>-16295.158730000001</v>
      </c>
      <c r="K34" s="96"/>
    </row>
    <row r="35" spans="3:11" ht="18" customHeight="1" x14ac:dyDescent="0.2">
      <c r="C35" s="90" t="s">
        <v>48</v>
      </c>
      <c r="D35" s="91">
        <v>0</v>
      </c>
      <c r="E35" s="91">
        <v>0</v>
      </c>
      <c r="F35" s="91">
        <v>0</v>
      </c>
      <c r="G35" s="91">
        <f>1421.5425-G32</f>
        <v>42.737059999999929</v>
      </c>
      <c r="H35" s="92">
        <v>0</v>
      </c>
      <c r="I35" s="92">
        <v>0</v>
      </c>
      <c r="J35" s="94">
        <f>SUM(D35:I35)</f>
        <v>42.737059999999929</v>
      </c>
      <c r="K35" s="80"/>
    </row>
    <row r="36" spans="3:11" ht="18" hidden="1" customHeight="1" x14ac:dyDescent="0.2">
      <c r="C36" s="97" t="s">
        <v>2106</v>
      </c>
      <c r="D36" s="91">
        <v>0</v>
      </c>
      <c r="E36" s="91">
        <v>0</v>
      </c>
      <c r="F36" s="88"/>
      <c r="G36" s="92">
        <v>0</v>
      </c>
      <c r="H36" s="92">
        <v>0</v>
      </c>
      <c r="I36" s="93">
        <v>0</v>
      </c>
      <c r="J36" s="94">
        <f>SUM(D36:I36)</f>
        <v>0</v>
      </c>
      <c r="K36" s="80"/>
    </row>
    <row r="37" spans="3:11" ht="18" hidden="1" customHeight="1" x14ac:dyDescent="0.2">
      <c r="C37" s="97" t="s">
        <v>1783</v>
      </c>
      <c r="D37" s="91">
        <v>0</v>
      </c>
      <c r="E37" s="91">
        <v>0</v>
      </c>
      <c r="F37" s="91">
        <v>0</v>
      </c>
      <c r="G37" s="92">
        <v>0</v>
      </c>
      <c r="H37" s="91">
        <v>0</v>
      </c>
      <c r="I37" s="92">
        <v>0</v>
      </c>
      <c r="J37" s="94">
        <f>SUM(D37:I37)</f>
        <v>0</v>
      </c>
      <c r="K37" s="80"/>
    </row>
    <row r="38" spans="3:11" ht="18" customHeight="1" x14ac:dyDescent="0.2">
      <c r="C38" s="98" t="s">
        <v>1785</v>
      </c>
      <c r="D38" s="88">
        <f t="shared" ref="D38:J38" si="2">SUM(D32:D37)</f>
        <v>273137.52944000001</v>
      </c>
      <c r="E38" s="88">
        <f t="shared" si="2"/>
        <v>181.18366000000003</v>
      </c>
      <c r="F38" s="88">
        <f t="shared" si="2"/>
        <v>8546.6066599999995</v>
      </c>
      <c r="G38" s="88">
        <f t="shared" si="2"/>
        <v>1421.5425</v>
      </c>
      <c r="H38" s="88">
        <f t="shared" si="2"/>
        <v>-2783.57744</v>
      </c>
      <c r="I38" s="88">
        <f t="shared" si="2"/>
        <v>-30968.750440000047</v>
      </c>
      <c r="J38" s="88">
        <f t="shared" si="2"/>
        <v>249534.53438</v>
      </c>
      <c r="K38" s="96"/>
    </row>
    <row r="39" spans="3:11" ht="18" hidden="1" customHeight="1" x14ac:dyDescent="0.2">
      <c r="C39" s="97" t="s">
        <v>1781</v>
      </c>
      <c r="D39" s="92"/>
      <c r="E39" s="92"/>
      <c r="F39" s="92">
        <v>0</v>
      </c>
      <c r="G39" s="92">
        <v>0</v>
      </c>
      <c r="H39" s="92">
        <v>0</v>
      </c>
      <c r="I39" s="92">
        <v>0</v>
      </c>
      <c r="J39" s="94">
        <f t="shared" ref="J39:J45" si="3">SUM(D39:I39)</f>
        <v>0</v>
      </c>
      <c r="K39" s="96"/>
    </row>
    <row r="40" spans="3:11" ht="18" customHeight="1" x14ac:dyDescent="0.2">
      <c r="C40" s="97" t="s">
        <v>1782</v>
      </c>
      <c r="D40" s="91">
        <v>0</v>
      </c>
      <c r="E40" s="91">
        <v>0</v>
      </c>
      <c r="F40" s="91">
        <v>0</v>
      </c>
      <c r="G40" s="92">
        <v>0</v>
      </c>
      <c r="H40" s="154">
        <v>0</v>
      </c>
      <c r="I40" s="93">
        <v>-8307.3525300000001</v>
      </c>
      <c r="J40" s="94">
        <f t="shared" si="3"/>
        <v>-8307.3525300000001</v>
      </c>
      <c r="K40" s="96"/>
    </row>
    <row r="41" spans="3:11" ht="18" customHeight="1" x14ac:dyDescent="0.2">
      <c r="C41" s="97" t="s">
        <v>48</v>
      </c>
      <c r="D41" s="91">
        <v>0</v>
      </c>
      <c r="E41" s="91">
        <v>0</v>
      </c>
      <c r="F41" s="91">
        <v>0</v>
      </c>
      <c r="G41" s="91">
        <v>21.60615</v>
      </c>
      <c r="H41" s="154">
        <v>0</v>
      </c>
      <c r="I41" s="154">
        <v>0</v>
      </c>
      <c r="J41" s="94">
        <f t="shared" si="3"/>
        <v>21.60615</v>
      </c>
      <c r="K41" s="96"/>
    </row>
    <row r="42" spans="3:11" ht="18" customHeight="1" x14ac:dyDescent="0.2">
      <c r="C42" s="97" t="s">
        <v>2106</v>
      </c>
      <c r="D42" s="91">
        <v>0</v>
      </c>
      <c r="E42" s="91">
        <v>0</v>
      </c>
      <c r="F42" s="88"/>
      <c r="G42" s="92">
        <v>0</v>
      </c>
      <c r="H42" s="154">
        <v>0</v>
      </c>
      <c r="I42" s="93">
        <v>0</v>
      </c>
      <c r="J42" s="94">
        <f t="shared" si="3"/>
        <v>0</v>
      </c>
      <c r="K42" s="96"/>
    </row>
    <row r="43" spans="3:11" ht="18" customHeight="1" x14ac:dyDescent="0.2">
      <c r="C43" s="90" t="s">
        <v>1783</v>
      </c>
      <c r="D43" s="91">
        <v>0</v>
      </c>
      <c r="E43" s="91">
        <v>0</v>
      </c>
      <c r="F43" s="91">
        <v>0</v>
      </c>
      <c r="G43" s="92">
        <v>0</v>
      </c>
      <c r="H43" s="93">
        <v>2783.57744</v>
      </c>
      <c r="I43" s="154">
        <v>0</v>
      </c>
      <c r="J43" s="94">
        <f t="shared" si="3"/>
        <v>2783.57744</v>
      </c>
      <c r="K43" s="96"/>
    </row>
    <row r="44" spans="3:11" ht="18" hidden="1" customHeight="1" x14ac:dyDescent="0.2">
      <c r="C44" s="97" t="s">
        <v>2108</v>
      </c>
      <c r="D44" s="91">
        <v>0</v>
      </c>
      <c r="E44" s="91">
        <v>0</v>
      </c>
      <c r="F44" s="88"/>
      <c r="G44" s="92">
        <v>0</v>
      </c>
      <c r="H44" s="154">
        <v>0</v>
      </c>
      <c r="I44" s="93"/>
      <c r="J44" s="94">
        <f t="shared" si="3"/>
        <v>0</v>
      </c>
      <c r="K44" s="96"/>
    </row>
    <row r="45" spans="3:11" ht="18" hidden="1" customHeight="1" x14ac:dyDescent="0.2">
      <c r="C45" s="90" t="s">
        <v>2107</v>
      </c>
      <c r="D45" s="91">
        <v>0</v>
      </c>
      <c r="E45" s="91">
        <v>0</v>
      </c>
      <c r="F45" s="91">
        <v>0</v>
      </c>
      <c r="G45" s="92">
        <v>0</v>
      </c>
      <c r="H45" s="93">
        <v>0</v>
      </c>
      <c r="I45" s="154">
        <v>0</v>
      </c>
      <c r="J45" s="94">
        <f t="shared" si="3"/>
        <v>0</v>
      </c>
      <c r="K45" s="96"/>
    </row>
    <row r="46" spans="3:11" ht="18" customHeight="1" x14ac:dyDescent="0.2">
      <c r="C46" s="87" t="s">
        <v>1907</v>
      </c>
      <c r="D46" s="88">
        <f>SUM(D38:D45)</f>
        <v>273137.52944000001</v>
      </c>
      <c r="E46" s="88">
        <f t="shared" ref="E46:I46" si="4">SUM(E38:E45)</f>
        <v>181.18366000000003</v>
      </c>
      <c r="F46" s="88">
        <f t="shared" si="4"/>
        <v>8546.6066599999995</v>
      </c>
      <c r="G46" s="88">
        <f t="shared" si="4"/>
        <v>1443.1486500000001</v>
      </c>
      <c r="H46" s="155">
        <f t="shared" si="4"/>
        <v>0</v>
      </c>
      <c r="I46" s="155">
        <f t="shared" si="4"/>
        <v>-39276.102970000051</v>
      </c>
      <c r="J46" s="88">
        <f>SUM(J38:J45)</f>
        <v>244032.36543999999</v>
      </c>
      <c r="K46" s="96"/>
    </row>
    <row r="47" spans="3:11" ht="18" hidden="1" customHeight="1" x14ac:dyDescent="0.2">
      <c r="C47" s="97" t="s">
        <v>1781</v>
      </c>
      <c r="D47" s="92"/>
      <c r="E47" s="92"/>
      <c r="F47" s="92">
        <v>0</v>
      </c>
      <c r="G47" s="92">
        <v>0</v>
      </c>
      <c r="H47" s="92">
        <v>0</v>
      </c>
      <c r="I47" s="92">
        <v>0</v>
      </c>
      <c r="J47" s="94">
        <f t="shared" ref="J47:J53" si="5">SUM(D47:I47)</f>
        <v>0</v>
      </c>
      <c r="K47" s="96"/>
    </row>
    <row r="48" spans="3:11" ht="18" customHeight="1" x14ac:dyDescent="0.2">
      <c r="C48" s="97" t="s">
        <v>1782</v>
      </c>
      <c r="D48" s="91">
        <v>0</v>
      </c>
      <c r="E48" s="91">
        <v>0</v>
      </c>
      <c r="F48" s="91">
        <v>0</v>
      </c>
      <c r="G48" s="92">
        <v>0</v>
      </c>
      <c r="H48" s="154">
        <v>0</v>
      </c>
      <c r="I48" s="93">
        <f>-609.0514-108.59987-1435.06913+83.47055+10.45496+8.22948</f>
        <v>-2050.5654100000002</v>
      </c>
      <c r="J48" s="94">
        <f t="shared" si="5"/>
        <v>-2050.5654100000002</v>
      </c>
      <c r="K48" s="96"/>
    </row>
    <row r="49" spans="3:11" ht="18" customHeight="1" x14ac:dyDescent="0.2">
      <c r="C49" s="97" t="s">
        <v>48</v>
      </c>
      <c r="D49" s="91">
        <v>0</v>
      </c>
      <c r="E49" s="91">
        <v>0</v>
      </c>
      <c r="F49" s="91">
        <v>0</v>
      </c>
      <c r="G49" s="91">
        <v>17.94171</v>
      </c>
      <c r="H49" s="154">
        <v>0</v>
      </c>
      <c r="I49" s="154">
        <v>0</v>
      </c>
      <c r="J49" s="94">
        <f t="shared" si="5"/>
        <v>17.94171</v>
      </c>
      <c r="K49" s="96"/>
    </row>
    <row r="50" spans="3:11" ht="18" hidden="1" customHeight="1" x14ac:dyDescent="0.2">
      <c r="C50" s="97" t="s">
        <v>2106</v>
      </c>
      <c r="D50" s="91">
        <v>0</v>
      </c>
      <c r="E50" s="91">
        <v>0</v>
      </c>
      <c r="F50" s="88"/>
      <c r="G50" s="92">
        <v>0</v>
      </c>
      <c r="H50" s="154">
        <v>0</v>
      </c>
      <c r="I50" s="93">
        <v>0</v>
      </c>
      <c r="J50" s="94">
        <f t="shared" si="5"/>
        <v>0</v>
      </c>
      <c r="K50" s="96"/>
    </row>
    <row r="51" spans="3:11" ht="18" hidden="1" customHeight="1" x14ac:dyDescent="0.2">
      <c r="C51" s="90" t="s">
        <v>1783</v>
      </c>
      <c r="D51" s="91">
        <v>0</v>
      </c>
      <c r="E51" s="91">
        <v>0</v>
      </c>
      <c r="F51" s="91">
        <v>0</v>
      </c>
      <c r="G51" s="92">
        <v>0</v>
      </c>
      <c r="H51" s="93">
        <v>0</v>
      </c>
      <c r="I51" s="154">
        <v>0</v>
      </c>
      <c r="J51" s="94">
        <f t="shared" si="5"/>
        <v>0</v>
      </c>
      <c r="K51" s="96"/>
    </row>
    <row r="52" spans="3:11" ht="18" customHeight="1" x14ac:dyDescent="0.2">
      <c r="C52" s="97" t="s">
        <v>2108</v>
      </c>
      <c r="D52" s="91">
        <v>0</v>
      </c>
      <c r="E52" s="91">
        <v>0</v>
      </c>
      <c r="F52" s="88"/>
      <c r="G52" s="92">
        <v>0</v>
      </c>
      <c r="H52" s="154">
        <v>0</v>
      </c>
      <c r="I52" s="93">
        <f>-37389.714</f>
        <v>-37389.714</v>
      </c>
      <c r="J52" s="94">
        <f t="shared" si="5"/>
        <v>-37389.714</v>
      </c>
      <c r="K52" s="96"/>
    </row>
    <row r="53" spans="3:11" ht="18" customHeight="1" x14ac:dyDescent="0.2">
      <c r="C53" s="90" t="s">
        <v>2107</v>
      </c>
      <c r="D53" s="91">
        <v>0</v>
      </c>
      <c r="E53" s="91">
        <v>0</v>
      </c>
      <c r="F53" s="91">
        <v>0</v>
      </c>
      <c r="G53" s="92">
        <v>0</v>
      </c>
      <c r="H53" s="93">
        <v>-7657.7569999999996</v>
      </c>
      <c r="I53" s="154">
        <v>0</v>
      </c>
      <c r="J53" s="94">
        <f t="shared" si="5"/>
        <v>-7657.7569999999996</v>
      </c>
      <c r="K53" s="96"/>
    </row>
    <row r="54" spans="3:11" ht="18" customHeight="1" x14ac:dyDescent="0.2">
      <c r="C54" s="87" t="s">
        <v>1799</v>
      </c>
      <c r="D54" s="88">
        <f>SUM(D46:D53)</f>
        <v>273137.52944000001</v>
      </c>
      <c r="E54" s="88">
        <f>SUM(E46:E53)</f>
        <v>181.18366000000003</v>
      </c>
      <c r="F54" s="88">
        <f t="shared" ref="F54:J54" si="6">SUM(F46:F53)</f>
        <v>8546.6066599999995</v>
      </c>
      <c r="G54" s="88">
        <f t="shared" si="6"/>
        <v>1461.0903600000001</v>
      </c>
      <c r="H54" s="155">
        <f t="shared" si="6"/>
        <v>-7657.7569999999996</v>
      </c>
      <c r="I54" s="155">
        <f t="shared" si="6"/>
        <v>-78716.382380000054</v>
      </c>
      <c r="J54" s="88">
        <f t="shared" si="6"/>
        <v>196952.27073999998</v>
      </c>
      <c r="K54" s="96"/>
    </row>
    <row r="55" spans="3:11" x14ac:dyDescent="0.2">
      <c r="C55" s="97" t="s">
        <v>1781</v>
      </c>
      <c r="D55" s="92"/>
      <c r="E55" s="92"/>
      <c r="F55" s="92">
        <v>0</v>
      </c>
      <c r="G55" s="92">
        <v>0</v>
      </c>
      <c r="H55" s="154">
        <v>0</v>
      </c>
      <c r="I55" s="154">
        <v>0</v>
      </c>
      <c r="J55" s="94">
        <f>SUM(D55:I55)</f>
        <v>0</v>
      </c>
      <c r="K55" s="80"/>
    </row>
    <row r="56" spans="3:11" x14ac:dyDescent="0.2">
      <c r="C56" s="97" t="s">
        <v>1784</v>
      </c>
      <c r="D56" s="91">
        <v>0</v>
      </c>
      <c r="E56" s="91">
        <v>0</v>
      </c>
      <c r="F56" s="91">
        <v>0</v>
      </c>
      <c r="G56" s="92">
        <v>0</v>
      </c>
      <c r="H56" s="154">
        <v>0</v>
      </c>
      <c r="I56" s="93">
        <f>-930.92983</f>
        <v>-930.92983000000004</v>
      </c>
      <c r="J56" s="94">
        <f>SUM(D56:I56)</f>
        <v>-930.92983000000004</v>
      </c>
      <c r="K56" s="80"/>
    </row>
    <row r="57" spans="3:11" x14ac:dyDescent="0.2">
      <c r="C57" s="97" t="s">
        <v>48</v>
      </c>
      <c r="D57" s="91">
        <v>0</v>
      </c>
      <c r="E57" s="91">
        <v>0</v>
      </c>
      <c r="F57" s="91">
        <v>0</v>
      </c>
      <c r="G57" s="91">
        <v>14.830069999999999</v>
      </c>
      <c r="H57" s="154">
        <v>0</v>
      </c>
      <c r="I57" s="154">
        <v>0</v>
      </c>
      <c r="J57" s="94">
        <f>SUM(D57:I57)</f>
        <v>14.830069999999999</v>
      </c>
      <c r="K57" s="175"/>
    </row>
    <row r="58" spans="3:11" hidden="1" x14ac:dyDescent="0.2">
      <c r="C58" s="97" t="s">
        <v>2109</v>
      </c>
      <c r="D58" s="91">
        <v>0</v>
      </c>
      <c r="E58" s="91">
        <v>0</v>
      </c>
      <c r="F58" s="88"/>
      <c r="G58" s="92">
        <v>0</v>
      </c>
      <c r="H58" s="154">
        <v>0</v>
      </c>
      <c r="I58" s="93">
        <v>0</v>
      </c>
      <c r="J58" s="94">
        <f>SUM(D58:I58)</f>
        <v>0</v>
      </c>
      <c r="K58" s="175"/>
    </row>
    <row r="59" spans="3:11" hidden="1" x14ac:dyDescent="0.2">
      <c r="C59" s="90" t="s">
        <v>1783</v>
      </c>
      <c r="D59" s="91">
        <v>0</v>
      </c>
      <c r="E59" s="91">
        <v>0</v>
      </c>
      <c r="F59" s="91">
        <v>0</v>
      </c>
      <c r="G59" s="92">
        <v>0</v>
      </c>
      <c r="H59" s="93">
        <v>0</v>
      </c>
      <c r="I59" s="154">
        <v>0</v>
      </c>
      <c r="J59" s="94">
        <f>SUM(D59:I59)</f>
        <v>0</v>
      </c>
      <c r="K59" s="184"/>
    </row>
    <row r="60" spans="3:11" x14ac:dyDescent="0.2">
      <c r="C60" s="87" t="s">
        <v>1790</v>
      </c>
      <c r="D60" s="88">
        <f>SUM(D54:D59)</f>
        <v>273137.52944000001</v>
      </c>
      <c r="E60" s="88">
        <f t="shared" ref="E60:I60" si="7">SUM(E54:E59)</f>
        <v>181.18366000000003</v>
      </c>
      <c r="F60" s="88">
        <f t="shared" si="7"/>
        <v>8546.6066599999995</v>
      </c>
      <c r="G60" s="88">
        <f t="shared" si="7"/>
        <v>1475.9204300000001</v>
      </c>
      <c r="H60" s="88">
        <f t="shared" si="7"/>
        <v>-7657.7569999999996</v>
      </c>
      <c r="I60" s="88">
        <f t="shared" si="7"/>
        <v>-79647.312210000047</v>
      </c>
      <c r="J60" s="88">
        <f>SUM(J54:J59)</f>
        <v>196036.17097999997</v>
      </c>
      <c r="K60" s="175"/>
    </row>
    <row r="61" spans="3:11" x14ac:dyDescent="0.2">
      <c r="C61" s="97" t="s">
        <v>1781</v>
      </c>
      <c r="D61" s="92"/>
      <c r="E61" s="92"/>
      <c r="F61" s="92">
        <v>0</v>
      </c>
      <c r="G61" s="92">
        <v>0</v>
      </c>
      <c r="H61" s="154">
        <v>0</v>
      </c>
      <c r="I61" s="154">
        <v>0</v>
      </c>
      <c r="J61" s="94">
        <f>SUM(D61:I61)</f>
        <v>0</v>
      </c>
      <c r="K61" s="175"/>
    </row>
    <row r="62" spans="3:11" x14ac:dyDescent="0.2">
      <c r="C62" s="97" t="s">
        <v>1784</v>
      </c>
      <c r="D62" s="91">
        <v>0</v>
      </c>
      <c r="E62" s="91">
        <v>0</v>
      </c>
      <c r="F62" s="91">
        <v>0</v>
      </c>
      <c r="G62" s="154">
        <v>0</v>
      </c>
      <c r="H62" s="154">
        <v>0</v>
      </c>
      <c r="I62" s="93">
        <f>-5060.58364+108.59987+1435.06913</f>
        <v>-3516.91464</v>
      </c>
      <c r="J62" s="366">
        <f>SUM(D62:I62)</f>
        <v>-3516.91464</v>
      </c>
      <c r="K62" s="106"/>
    </row>
    <row r="63" spans="3:11" x14ac:dyDescent="0.2">
      <c r="C63" s="97" t="s">
        <v>1791</v>
      </c>
      <c r="D63" s="91">
        <v>0</v>
      </c>
      <c r="E63" s="91">
        <v>0</v>
      </c>
      <c r="F63" s="91">
        <v>0</v>
      </c>
      <c r="G63" s="93">
        <v>10.93172</v>
      </c>
      <c r="H63" s="154">
        <v>0</v>
      </c>
      <c r="I63" s="154">
        <v>0</v>
      </c>
      <c r="J63" s="366">
        <f>SUM(D63:I63)</f>
        <v>10.93172</v>
      </c>
      <c r="K63" s="106"/>
    </row>
    <row r="64" spans="3:11" hidden="1" x14ac:dyDescent="0.2">
      <c r="C64" s="97" t="s">
        <v>2108</v>
      </c>
      <c r="D64" s="91">
        <v>0</v>
      </c>
      <c r="E64" s="91">
        <v>0</v>
      </c>
      <c r="F64" s="88"/>
      <c r="G64" s="154">
        <v>0</v>
      </c>
      <c r="H64" s="154">
        <v>0</v>
      </c>
      <c r="I64" s="93">
        <v>0</v>
      </c>
      <c r="J64" s="366">
        <f>SUM(D64:I64)</f>
        <v>0</v>
      </c>
      <c r="K64" s="106"/>
    </row>
    <row r="65" spans="3:11" hidden="1" x14ac:dyDescent="0.2">
      <c r="C65" s="90" t="s">
        <v>2107</v>
      </c>
      <c r="D65" s="91">
        <v>0</v>
      </c>
      <c r="E65" s="91">
        <v>0</v>
      </c>
      <c r="F65" s="91">
        <v>0</v>
      </c>
      <c r="G65" s="154">
        <v>0</v>
      </c>
      <c r="H65" s="93">
        <v>0</v>
      </c>
      <c r="I65" s="154">
        <v>0</v>
      </c>
      <c r="J65" s="366">
        <f>SUM(D65:I65)</f>
        <v>0</v>
      </c>
      <c r="K65" s="367"/>
    </row>
    <row r="66" spans="3:11" x14ac:dyDescent="0.2">
      <c r="C66" s="87" t="s">
        <v>1786</v>
      </c>
      <c r="D66" s="88">
        <f>SUM(D60:D65)</f>
        <v>273137.52944000001</v>
      </c>
      <c r="E66" s="88">
        <f t="shared" ref="E66:J66" si="8">SUM(E60:E65)</f>
        <v>181.18366000000003</v>
      </c>
      <c r="F66" s="88">
        <f t="shared" si="8"/>
        <v>8546.6066599999995</v>
      </c>
      <c r="G66" s="155">
        <f t="shared" si="8"/>
        <v>1486.8521500000002</v>
      </c>
      <c r="H66" s="155">
        <f t="shared" si="8"/>
        <v>-7657.7569999999996</v>
      </c>
      <c r="I66" s="155">
        <f t="shared" si="8"/>
        <v>-83164.22685000005</v>
      </c>
      <c r="J66" s="155">
        <f t="shared" si="8"/>
        <v>192530.18805999996</v>
      </c>
      <c r="K66" s="367"/>
    </row>
    <row r="67" spans="3:11" hidden="1" x14ac:dyDescent="0.2">
      <c r="C67" s="97" t="s">
        <v>1781</v>
      </c>
      <c r="D67" s="92"/>
      <c r="E67" s="92"/>
      <c r="F67" s="92">
        <v>0</v>
      </c>
      <c r="G67" s="154">
        <v>0</v>
      </c>
      <c r="H67" s="154">
        <v>0</v>
      </c>
      <c r="I67" s="154">
        <v>0</v>
      </c>
      <c r="J67" s="366">
        <f>SUM(D67:I67)</f>
        <v>0</v>
      </c>
      <c r="K67" s="367"/>
    </row>
    <row r="68" spans="3:11" x14ac:dyDescent="0.2">
      <c r="C68" s="97" t="s">
        <v>1784</v>
      </c>
      <c r="D68" s="91">
        <v>0</v>
      </c>
      <c r="E68" s="91">
        <v>0</v>
      </c>
      <c r="F68" s="91">
        <v>0</v>
      </c>
      <c r="G68" s="154">
        <v>0</v>
      </c>
      <c r="H68" s="154">
        <v>0</v>
      </c>
      <c r="I68" s="93">
        <v>-1796.54946</v>
      </c>
      <c r="J68" s="366">
        <f>SUM(D68:I68)</f>
        <v>-1796.54946</v>
      </c>
      <c r="K68" s="368"/>
    </row>
    <row r="69" spans="3:11" x14ac:dyDescent="0.2">
      <c r="C69" s="97" t="s">
        <v>1791</v>
      </c>
      <c r="D69" s="91">
        <v>0</v>
      </c>
      <c r="E69" s="91">
        <v>0</v>
      </c>
      <c r="F69" s="91">
        <v>0</v>
      </c>
      <c r="G69" s="93">
        <v>7.6282800000000002</v>
      </c>
      <c r="H69" s="154">
        <v>0</v>
      </c>
      <c r="I69" s="154">
        <v>0</v>
      </c>
      <c r="J69" s="366">
        <f>SUM(D69:I69)</f>
        <v>7.6282800000000002</v>
      </c>
      <c r="K69" s="367"/>
    </row>
    <row r="70" spans="3:11" x14ac:dyDescent="0.2">
      <c r="C70" s="97" t="s">
        <v>2108</v>
      </c>
      <c r="D70" s="91">
        <v>0</v>
      </c>
      <c r="E70" s="91">
        <v>0</v>
      </c>
      <c r="F70" s="88"/>
      <c r="G70" s="154">
        <v>0</v>
      </c>
      <c r="H70" s="154">
        <v>0</v>
      </c>
      <c r="I70" s="93">
        <v>1179.152</v>
      </c>
      <c r="J70" s="366">
        <f>SUM(D70:I70)</f>
        <v>1179.152</v>
      </c>
      <c r="K70" s="367"/>
    </row>
    <row r="71" spans="3:11" x14ac:dyDescent="0.2">
      <c r="C71" s="90" t="s">
        <v>2107</v>
      </c>
      <c r="D71" s="91">
        <v>0</v>
      </c>
      <c r="E71" s="91">
        <v>0</v>
      </c>
      <c r="F71" s="91">
        <v>0</v>
      </c>
      <c r="G71" s="154">
        <v>0</v>
      </c>
      <c r="H71" s="93">
        <v>-3495.84</v>
      </c>
      <c r="I71" s="154">
        <v>0</v>
      </c>
      <c r="J71" s="366">
        <f>SUM(D71:I71)</f>
        <v>-3495.84</v>
      </c>
      <c r="K71" s="368"/>
    </row>
    <row r="72" spans="3:11" x14ac:dyDescent="0.2">
      <c r="C72" s="87" t="s">
        <v>1908</v>
      </c>
      <c r="D72" s="88">
        <f>SUM(D66:D71)</f>
        <v>273137.52944000001</v>
      </c>
      <c r="E72" s="88">
        <f t="shared" ref="E72:J72" si="9">SUM(E66:E71)</f>
        <v>181.18366000000003</v>
      </c>
      <c r="F72" s="88">
        <f t="shared" si="9"/>
        <v>8546.6066599999995</v>
      </c>
      <c r="G72" s="155">
        <f t="shared" si="9"/>
        <v>1494.4804300000001</v>
      </c>
      <c r="H72" s="155">
        <f t="shared" si="9"/>
        <v>-11153.597</v>
      </c>
      <c r="I72" s="155">
        <f t="shared" si="9"/>
        <v>-83781.624310000043</v>
      </c>
      <c r="J72" s="155">
        <f t="shared" si="9"/>
        <v>188424.57887999996</v>
      </c>
      <c r="K72" s="367"/>
    </row>
    <row r="73" spans="3:11" x14ac:dyDescent="0.2">
      <c r="G73" s="367"/>
      <c r="H73" s="367"/>
      <c r="I73" s="367"/>
      <c r="J73" s="367"/>
      <c r="K73" s="367"/>
    </row>
    <row r="76" spans="3:11" ht="15" x14ac:dyDescent="0.25">
      <c r="C76" s="394" t="s">
        <v>53</v>
      </c>
      <c r="D76" s="394"/>
      <c r="E76" s="394"/>
      <c r="F76" s="394"/>
      <c r="G76" s="394"/>
      <c r="H76" s="394"/>
      <c r="I76" s="394"/>
      <c r="J76" s="394"/>
    </row>
    <row r="79" spans="3:11" x14ac:dyDescent="0.2">
      <c r="J79" s="104"/>
    </row>
  </sheetData>
  <mergeCells count="8">
    <mergeCell ref="D24:E24"/>
    <mergeCell ref="C76:J76"/>
    <mergeCell ref="C14:J14"/>
    <mergeCell ref="C15:J15"/>
    <mergeCell ref="C17:J17"/>
    <mergeCell ref="C19:J19"/>
    <mergeCell ref="C20:J20"/>
    <mergeCell ref="C21:J21"/>
  </mergeCells>
  <printOptions horizontalCentered="1"/>
  <pageMargins left="0.82677165354330717" right="1.1417322834645669" top="0.78740157480314965" bottom="1.1811023622047245" header="1.1811023622047245" footer="1.299212598425197"/>
  <pageSetup paperSize="9" scale="5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10" sqref="I10"/>
    </sheetView>
  </sheetViews>
  <sheetFormatPr defaultRowHeight="12.75" x14ac:dyDescent="0.2"/>
  <cols>
    <col min="11" max="11" width="35.5703125" customWidth="1"/>
    <col min="12" max="12" width="17.140625" customWidth="1"/>
    <col min="13" max="13" width="16.42578125" customWidth="1"/>
  </cols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1"/>
  <sheetViews>
    <sheetView showGridLines="0" topLeftCell="H135" workbookViewId="0">
      <selection activeCell="J146" sqref="J146:R151"/>
    </sheetView>
  </sheetViews>
  <sheetFormatPr defaultRowHeight="12.75" x14ac:dyDescent="0.2"/>
  <cols>
    <col min="1" max="1" width="3.42578125" style="180" customWidth="1"/>
    <col min="2" max="2" width="36" customWidth="1"/>
    <col min="3" max="3" width="10.7109375" customWidth="1"/>
    <col min="4" max="4" width="10.140625" bestFit="1" customWidth="1"/>
    <col min="6" max="6" width="18" customWidth="1"/>
    <col min="7" max="7" width="12.7109375" customWidth="1"/>
    <col min="8" max="8" width="15.5703125" customWidth="1"/>
    <col min="9" max="9" width="24.140625" customWidth="1"/>
    <col min="11" max="11" width="26.140625" customWidth="1"/>
    <col min="12" max="12" width="2.7109375" style="217" hidden="1" customWidth="1"/>
    <col min="13" max="13" width="12.7109375" hidden="1" customWidth="1"/>
    <col min="14" max="14" width="2.7109375" style="217" hidden="1" customWidth="1"/>
    <col min="15" max="15" width="12.7109375" customWidth="1"/>
    <col min="16" max="16" width="2.7109375" customWidth="1"/>
    <col min="17" max="17" width="12.7109375" customWidth="1"/>
  </cols>
  <sheetData>
    <row r="2" spans="2:18" x14ac:dyDescent="0.2">
      <c r="J2" s="180"/>
      <c r="K2" s="180"/>
      <c r="M2" s="180"/>
      <c r="O2" s="180"/>
      <c r="P2" s="180"/>
      <c r="Q2" s="180"/>
      <c r="R2" s="180"/>
    </row>
    <row r="3" spans="2:18" x14ac:dyDescent="0.2">
      <c r="J3" s="180"/>
      <c r="K3" s="191" t="s">
        <v>1909</v>
      </c>
      <c r="L3" s="191"/>
      <c r="M3" s="191"/>
      <c r="N3" s="191"/>
      <c r="O3" s="192">
        <v>44104</v>
      </c>
      <c r="P3" s="191"/>
      <c r="Q3" s="192">
        <v>43830</v>
      </c>
      <c r="R3" s="180"/>
    </row>
    <row r="4" spans="2:18" x14ac:dyDescent="0.2">
      <c r="J4" s="180"/>
      <c r="K4" s="180" t="s">
        <v>1910</v>
      </c>
      <c r="M4" s="180"/>
      <c r="O4" s="186">
        <f>9857.14919-O5</f>
        <v>1172.9054099999994</v>
      </c>
      <c r="P4" s="187"/>
      <c r="Q4" s="188">
        <f>(1599.31+0+452766.94+2659.77+771.18)/1000</f>
        <v>457.79720000000003</v>
      </c>
      <c r="R4" s="180"/>
    </row>
    <row r="5" spans="2:18" x14ac:dyDescent="0.2">
      <c r="J5" s="180"/>
      <c r="K5" s="180" t="s">
        <v>1911</v>
      </c>
      <c r="M5" s="180"/>
      <c r="O5" s="186">
        <v>8684.2437800000007</v>
      </c>
      <c r="P5" s="187"/>
      <c r="Q5" s="188">
        <f>2869142.97/1000</f>
        <v>2869.1429700000003</v>
      </c>
      <c r="R5" s="180"/>
    </row>
    <row r="6" spans="2:18" x14ac:dyDescent="0.2">
      <c r="J6" s="180"/>
      <c r="K6" s="189" t="s">
        <v>1912</v>
      </c>
      <c r="L6" s="189"/>
      <c r="M6" s="189"/>
      <c r="N6" s="189"/>
      <c r="O6" s="190">
        <f>SUM(O4:O5)</f>
        <v>9857.1491900000001</v>
      </c>
      <c r="P6" s="189"/>
      <c r="Q6" s="190">
        <f>SUM(Q4:Q5)</f>
        <v>3326.9401700000003</v>
      </c>
      <c r="R6" s="180"/>
    </row>
    <row r="7" spans="2:18" x14ac:dyDescent="0.2">
      <c r="J7" s="180"/>
      <c r="K7" s="180"/>
      <c r="M7" s="180"/>
      <c r="O7" s="180"/>
      <c r="P7" s="180"/>
      <c r="Q7" s="180"/>
      <c r="R7" s="180"/>
    </row>
    <row r="12" spans="2:18" x14ac:dyDescent="0.2">
      <c r="B12" s="191" t="s">
        <v>1909</v>
      </c>
      <c r="C12" s="191"/>
      <c r="D12" s="191"/>
      <c r="E12" s="191"/>
      <c r="F12" s="191"/>
      <c r="G12" s="192">
        <v>44104</v>
      </c>
      <c r="H12" s="191"/>
      <c r="I12" s="192">
        <v>43830</v>
      </c>
      <c r="K12" s="191" t="s">
        <v>96</v>
      </c>
      <c r="L12" s="191"/>
      <c r="M12" s="191"/>
      <c r="N12" s="191"/>
      <c r="O12" s="192">
        <v>44104</v>
      </c>
      <c r="P12" s="191"/>
      <c r="Q12" s="192">
        <v>43830</v>
      </c>
    </row>
    <row r="13" spans="2:18" x14ac:dyDescent="0.2">
      <c r="B13" s="180" t="s">
        <v>1910</v>
      </c>
      <c r="G13" s="186">
        <f>9857.14919-G14</f>
        <v>1172.9054099999994</v>
      </c>
      <c r="H13" s="187"/>
      <c r="I13" s="188">
        <f>(1599.31+0+452766.94+2659.77+771.18)/1000</f>
        <v>457.79720000000003</v>
      </c>
      <c r="K13" s="180" t="s">
        <v>1913</v>
      </c>
      <c r="M13" s="180"/>
      <c r="O13" s="186">
        <v>4999.8901800000003</v>
      </c>
      <c r="P13" s="187"/>
      <c r="Q13" s="188">
        <v>4721</v>
      </c>
    </row>
    <row r="14" spans="2:18" x14ac:dyDescent="0.2">
      <c r="B14" s="180" t="s">
        <v>1911</v>
      </c>
      <c r="G14" s="186">
        <v>8684.2437800000007</v>
      </c>
      <c r="H14" s="187"/>
      <c r="I14" s="188">
        <f>2869142.97/1000</f>
        <v>2869.1429700000003</v>
      </c>
      <c r="K14" s="180" t="s">
        <v>1914</v>
      </c>
      <c r="M14" s="180"/>
      <c r="O14" s="186">
        <v>44.032559999999997</v>
      </c>
      <c r="P14" s="187"/>
      <c r="Q14" s="188">
        <v>44</v>
      </c>
    </row>
    <row r="15" spans="2:18" s="180" customFormat="1" x14ac:dyDescent="0.2">
      <c r="G15" s="186"/>
      <c r="H15" s="187"/>
      <c r="I15" s="188"/>
      <c r="K15" s="180" t="s">
        <v>1915</v>
      </c>
      <c r="L15" s="217"/>
      <c r="N15" s="217"/>
      <c r="O15" s="186">
        <v>24.234739999999999</v>
      </c>
      <c r="P15" s="187"/>
      <c r="Q15" s="188">
        <v>109</v>
      </c>
    </row>
    <row r="16" spans="2:18" s="180" customFormat="1" x14ac:dyDescent="0.2">
      <c r="G16" s="186"/>
      <c r="H16" s="187"/>
      <c r="I16" s="188"/>
      <c r="K16" s="180" t="s">
        <v>1916</v>
      </c>
      <c r="L16" s="217"/>
      <c r="N16" s="217"/>
      <c r="O16" s="186">
        <v>70.326220000000006</v>
      </c>
      <c r="P16" s="187"/>
      <c r="Q16" s="188">
        <v>130</v>
      </c>
    </row>
    <row r="17" spans="2:17" s="180" customFormat="1" x14ac:dyDescent="0.2">
      <c r="G17" s="186"/>
      <c r="H17" s="187"/>
      <c r="I17" s="188"/>
      <c r="K17" s="180" t="s">
        <v>1917</v>
      </c>
      <c r="L17" s="217"/>
      <c r="N17" s="217"/>
      <c r="O17" s="186">
        <v>-328</v>
      </c>
      <c r="P17" s="187"/>
      <c r="Q17" s="188">
        <v>-328</v>
      </c>
    </row>
    <row r="18" spans="2:17" x14ac:dyDescent="0.2">
      <c r="B18" s="189" t="s">
        <v>1912</v>
      </c>
      <c r="C18" s="189"/>
      <c r="D18" s="189"/>
      <c r="E18" s="189"/>
      <c r="F18" s="189"/>
      <c r="G18" s="190">
        <f>SUM(G13:G14)</f>
        <v>9857.1491900000001</v>
      </c>
      <c r="H18" s="189"/>
      <c r="I18" s="190">
        <f>SUM(I13:I14)</f>
        <v>3326.9401700000003</v>
      </c>
      <c r="K18" s="189" t="s">
        <v>1912</v>
      </c>
      <c r="L18" s="189"/>
      <c r="M18" s="189"/>
      <c r="N18" s="189"/>
      <c r="O18" s="190">
        <v>4810</v>
      </c>
      <c r="P18" s="189"/>
      <c r="Q18" s="190">
        <v>4676</v>
      </c>
    </row>
    <row r="19" spans="2:17" x14ac:dyDescent="0.2">
      <c r="Q19" s="188"/>
    </row>
    <row r="22" spans="2:17" x14ac:dyDescent="0.2">
      <c r="K22" s="191" t="s">
        <v>143</v>
      </c>
      <c r="L22" s="233"/>
      <c r="O22" s="192">
        <v>44104</v>
      </c>
      <c r="P22" s="191"/>
      <c r="Q22" s="192">
        <v>43830</v>
      </c>
    </row>
    <row r="23" spans="2:17" x14ac:dyDescent="0.2">
      <c r="K23" s="180" t="s">
        <v>1918</v>
      </c>
      <c r="M23" s="180"/>
      <c r="O23" s="186">
        <v>41</v>
      </c>
      <c r="P23" s="187"/>
      <c r="Q23" s="188">
        <v>41</v>
      </c>
    </row>
    <row r="24" spans="2:17" x14ac:dyDescent="0.2">
      <c r="K24" s="189" t="s">
        <v>1912</v>
      </c>
      <c r="L24" s="189"/>
      <c r="M24" s="189"/>
      <c r="N24" s="189"/>
      <c r="O24" s="190">
        <f>SUM(O23)</f>
        <v>41</v>
      </c>
      <c r="P24" s="189"/>
      <c r="Q24" s="190">
        <f>SUM(Q23)</f>
        <v>41</v>
      </c>
    </row>
    <row r="26" spans="2:17" x14ac:dyDescent="0.2">
      <c r="O26" s="14"/>
    </row>
    <row r="28" spans="2:17" x14ac:dyDescent="0.2">
      <c r="O28" s="193"/>
    </row>
    <row r="29" spans="2:17" x14ac:dyDescent="0.2">
      <c r="K29" s="191" t="s">
        <v>146</v>
      </c>
      <c r="L29" s="233"/>
      <c r="M29" s="180"/>
      <c r="O29" s="192">
        <v>44104</v>
      </c>
      <c r="P29" s="191"/>
      <c r="Q29" s="192">
        <v>43830</v>
      </c>
    </row>
    <row r="30" spans="2:17" s="180" customFormat="1" x14ac:dyDescent="0.2">
      <c r="K30" s="195" t="s">
        <v>1919</v>
      </c>
      <c r="L30" s="195"/>
      <c r="M30" s="196"/>
      <c r="N30" s="196"/>
      <c r="O30" s="186">
        <v>614.08677999999998</v>
      </c>
      <c r="P30" s="195"/>
      <c r="Q30" s="197">
        <v>0</v>
      </c>
    </row>
    <row r="31" spans="2:17" s="180" customFormat="1" x14ac:dyDescent="0.2">
      <c r="K31" s="195" t="s">
        <v>1920</v>
      </c>
      <c r="L31" s="195"/>
      <c r="M31" s="196"/>
      <c r="N31" s="196"/>
      <c r="O31" s="186">
        <v>29.47343</v>
      </c>
      <c r="P31" s="195"/>
      <c r="Q31" s="197">
        <v>0</v>
      </c>
    </row>
    <row r="32" spans="2:17" s="180" customFormat="1" x14ac:dyDescent="0.2">
      <c r="K32" s="195" t="s">
        <v>1921</v>
      </c>
      <c r="L32" s="195"/>
      <c r="M32" s="196"/>
      <c r="N32" s="196"/>
      <c r="O32" s="186">
        <v>127.93473</v>
      </c>
      <c r="P32" s="195"/>
      <c r="Q32" s="197">
        <v>0</v>
      </c>
    </row>
    <row r="33" spans="11:17" s="180" customFormat="1" x14ac:dyDescent="0.2">
      <c r="K33" s="195" t="s">
        <v>1922</v>
      </c>
      <c r="L33" s="195"/>
      <c r="M33" s="196"/>
      <c r="N33" s="196"/>
      <c r="O33" s="188">
        <v>798</v>
      </c>
      <c r="P33" s="195"/>
      <c r="Q33" s="188">
        <v>798</v>
      </c>
    </row>
    <row r="34" spans="11:17" s="180" customFormat="1" x14ac:dyDescent="0.2">
      <c r="K34" s="195" t="s">
        <v>1923</v>
      </c>
      <c r="L34" s="195"/>
      <c r="M34" s="196"/>
      <c r="N34" s="196"/>
      <c r="O34" s="188">
        <v>161</v>
      </c>
      <c r="P34" s="195"/>
      <c r="Q34" s="188">
        <v>161</v>
      </c>
    </row>
    <row r="35" spans="11:17" s="180" customFormat="1" x14ac:dyDescent="0.2">
      <c r="K35" s="195" t="s">
        <v>1924</v>
      </c>
      <c r="L35" s="195"/>
      <c r="M35" s="196"/>
      <c r="N35" s="196"/>
      <c r="O35" s="186">
        <v>200.26713000000001</v>
      </c>
      <c r="P35" s="195"/>
      <c r="Q35" s="197">
        <v>0</v>
      </c>
    </row>
    <row r="36" spans="11:17" x14ac:dyDescent="0.2">
      <c r="K36" s="189" t="s">
        <v>1912</v>
      </c>
      <c r="L36" s="189"/>
      <c r="M36" s="189"/>
      <c r="N36" s="189"/>
      <c r="O36" s="190">
        <v>1931</v>
      </c>
      <c r="P36" s="189"/>
      <c r="Q36" s="190">
        <v>959</v>
      </c>
    </row>
    <row r="37" spans="11:17" x14ac:dyDescent="0.2">
      <c r="K37" s="180"/>
      <c r="M37" s="180"/>
      <c r="O37" s="180"/>
      <c r="P37" s="180"/>
      <c r="Q37" s="180"/>
    </row>
    <row r="38" spans="11:17" x14ac:dyDescent="0.2">
      <c r="O38" s="193"/>
    </row>
    <row r="43" spans="11:17" x14ac:dyDescent="0.2">
      <c r="O43" s="25">
        <v>238606.69</v>
      </c>
    </row>
    <row r="44" spans="11:17" x14ac:dyDescent="0.2">
      <c r="O44" s="25">
        <v>919.76</v>
      </c>
    </row>
    <row r="45" spans="11:17" x14ac:dyDescent="0.2">
      <c r="O45" s="25">
        <v>49709.71</v>
      </c>
    </row>
    <row r="46" spans="11:17" x14ac:dyDescent="0.2">
      <c r="O46" s="25">
        <v>9120.65</v>
      </c>
    </row>
    <row r="47" spans="11:17" x14ac:dyDescent="0.2">
      <c r="O47" s="25">
        <f>SUM(O43:O46)</f>
        <v>298356.81000000006</v>
      </c>
    </row>
    <row r="48" spans="11:17" x14ac:dyDescent="0.2">
      <c r="O48" s="25"/>
    </row>
    <row r="49" spans="11:17" x14ac:dyDescent="0.2">
      <c r="O49" s="25"/>
    </row>
    <row r="50" spans="11:17" x14ac:dyDescent="0.2">
      <c r="O50" s="25"/>
    </row>
    <row r="52" spans="11:17" x14ac:dyDescent="0.2">
      <c r="K52" s="191" t="s">
        <v>1925</v>
      </c>
      <c r="L52" s="233"/>
      <c r="M52" s="180"/>
      <c r="O52" s="192">
        <v>44104</v>
      </c>
      <c r="P52" s="191"/>
      <c r="Q52" s="192">
        <v>43830</v>
      </c>
    </row>
    <row r="53" spans="11:17" x14ac:dyDescent="0.2">
      <c r="K53" s="198" t="s">
        <v>1926</v>
      </c>
      <c r="L53" s="198"/>
      <c r="M53" s="196"/>
      <c r="N53" s="196"/>
      <c r="O53" s="186">
        <v>425</v>
      </c>
      <c r="P53" s="195"/>
      <c r="Q53" s="199">
        <v>327</v>
      </c>
    </row>
    <row r="54" spans="11:17" x14ac:dyDescent="0.2">
      <c r="K54" s="198" t="s">
        <v>1927</v>
      </c>
      <c r="L54" s="198"/>
      <c r="M54" s="196"/>
      <c r="N54" s="196"/>
      <c r="O54" s="186">
        <v>140</v>
      </c>
      <c r="P54" s="195"/>
      <c r="Q54" s="199">
        <v>204</v>
      </c>
    </row>
    <row r="55" spans="11:17" x14ac:dyDescent="0.2">
      <c r="K55" s="198" t="s">
        <v>1928</v>
      </c>
      <c r="L55" s="198"/>
      <c r="M55" s="196"/>
      <c r="N55" s="196"/>
      <c r="O55" s="186">
        <v>94</v>
      </c>
      <c r="P55" s="195"/>
      <c r="Q55" s="197">
        <v>0</v>
      </c>
    </row>
    <row r="56" spans="11:17" x14ac:dyDescent="0.2">
      <c r="K56" s="189" t="s">
        <v>1912</v>
      </c>
      <c r="L56" s="189"/>
      <c r="M56" s="189"/>
      <c r="N56" s="189"/>
      <c r="O56" s="190">
        <v>659</v>
      </c>
      <c r="P56" s="189"/>
      <c r="Q56" s="190">
        <v>531</v>
      </c>
    </row>
    <row r="66" spans="11:18" x14ac:dyDescent="0.2">
      <c r="K66" s="191" t="s">
        <v>274</v>
      </c>
      <c r="L66" s="233"/>
      <c r="M66" s="180"/>
      <c r="O66" s="192">
        <v>44104</v>
      </c>
      <c r="P66" s="191"/>
      <c r="Q66" s="192">
        <v>43830</v>
      </c>
    </row>
    <row r="67" spans="11:18" x14ac:dyDescent="0.2">
      <c r="K67" s="198" t="s">
        <v>1929</v>
      </c>
      <c r="L67" s="198"/>
      <c r="M67" s="196"/>
      <c r="N67" s="196"/>
      <c r="O67" s="186">
        <v>15639.876410000001</v>
      </c>
      <c r="P67" s="195"/>
      <c r="Q67" s="199">
        <v>15578.786410000001</v>
      </c>
    </row>
    <row r="68" spans="11:18" x14ac:dyDescent="0.2">
      <c r="K68" s="198" t="s">
        <v>1930</v>
      </c>
      <c r="L68" s="198"/>
      <c r="M68" s="196"/>
      <c r="N68" s="196"/>
      <c r="O68" s="186">
        <v>144659.77072999999</v>
      </c>
      <c r="P68" s="195"/>
      <c r="Q68" s="199">
        <v>144659.77072999999</v>
      </c>
    </row>
    <row r="69" spans="11:18" x14ac:dyDescent="0.2">
      <c r="K69" s="198" t="s">
        <v>1931</v>
      </c>
      <c r="L69" s="198"/>
      <c r="M69" s="195"/>
      <c r="N69" s="195"/>
      <c r="O69" s="186">
        <v>238454.44341000001</v>
      </c>
      <c r="P69" s="195"/>
      <c r="Q69" s="199">
        <v>238454.44341000001</v>
      </c>
      <c r="R69" s="200"/>
    </row>
    <row r="70" spans="11:18" x14ac:dyDescent="0.2">
      <c r="K70" s="198" t="s">
        <v>1932</v>
      </c>
      <c r="L70" s="198"/>
      <c r="M70" s="200"/>
      <c r="N70" s="200"/>
      <c r="O70" s="186">
        <v>396.98462000000001</v>
      </c>
      <c r="P70" s="200"/>
      <c r="Q70" s="199">
        <v>382</v>
      </c>
      <c r="R70" s="200"/>
    </row>
    <row r="71" spans="11:18" x14ac:dyDescent="0.2">
      <c r="K71" s="198" t="s">
        <v>1933</v>
      </c>
      <c r="L71" s="198"/>
      <c r="O71" s="186">
        <v>527.83312000000001</v>
      </c>
      <c r="Q71" s="199">
        <v>528</v>
      </c>
    </row>
    <row r="72" spans="11:18" x14ac:dyDescent="0.2">
      <c r="K72" s="198" t="s">
        <v>1934</v>
      </c>
      <c r="L72" s="198"/>
      <c r="O72" s="186">
        <v>959.09600999999998</v>
      </c>
      <c r="Q72" s="199">
        <v>959</v>
      </c>
    </row>
    <row r="73" spans="11:18" x14ac:dyDescent="0.2">
      <c r="K73" s="198" t="s">
        <v>1935</v>
      </c>
      <c r="L73" s="198"/>
      <c r="O73" s="186">
        <v>140</v>
      </c>
      <c r="Q73" s="199">
        <v>140</v>
      </c>
    </row>
    <row r="74" spans="11:18" x14ac:dyDescent="0.2">
      <c r="K74" s="198" t="s">
        <v>1936</v>
      </c>
      <c r="L74" s="198"/>
      <c r="O74" s="186">
        <v>-5524.6294200000002</v>
      </c>
      <c r="Q74" s="201">
        <v>-5525</v>
      </c>
    </row>
    <row r="75" spans="11:18" x14ac:dyDescent="0.2">
      <c r="K75" s="198" t="s">
        <v>1937</v>
      </c>
      <c r="L75" s="198"/>
      <c r="O75" s="186">
        <v>-104697.94197</v>
      </c>
      <c r="Q75" s="201">
        <v>-93583</v>
      </c>
    </row>
    <row r="76" spans="11:18" x14ac:dyDescent="0.2">
      <c r="K76" s="189" t="s">
        <v>1912</v>
      </c>
      <c r="L76" s="189"/>
      <c r="M76" s="189"/>
      <c r="N76" s="189"/>
      <c r="O76" s="190">
        <v>290555</v>
      </c>
      <c r="P76" s="189"/>
      <c r="Q76" s="190">
        <v>301594</v>
      </c>
      <c r="R76" s="203"/>
    </row>
    <row r="77" spans="11:18" x14ac:dyDescent="0.2">
      <c r="O77" s="14"/>
    </row>
    <row r="81" spans="11:17" x14ac:dyDescent="0.2">
      <c r="Q81" s="180"/>
    </row>
    <row r="82" spans="11:17" ht="8.25" customHeight="1" x14ac:dyDescent="0.2"/>
    <row r="85" spans="11:17" x14ac:dyDescent="0.2">
      <c r="K85" s="191" t="s">
        <v>1961</v>
      </c>
      <c r="L85" s="233"/>
      <c r="M85" s="185"/>
      <c r="O85" s="192">
        <v>44104</v>
      </c>
      <c r="P85" s="191"/>
      <c r="Q85" s="192">
        <v>43830</v>
      </c>
    </row>
    <row r="86" spans="11:17" s="185" customFormat="1" x14ac:dyDescent="0.2">
      <c r="K86" s="185" t="s">
        <v>1962</v>
      </c>
      <c r="L86" s="217"/>
      <c r="N86" s="217"/>
      <c r="O86" s="32">
        <v>7809.8961799999997</v>
      </c>
      <c r="Q86" s="32">
        <v>7580.5611799999997</v>
      </c>
    </row>
    <row r="87" spans="11:17" s="185" customFormat="1" x14ac:dyDescent="0.2">
      <c r="K87" s="185" t="s">
        <v>1963</v>
      </c>
      <c r="L87" s="217"/>
      <c r="N87" s="217"/>
      <c r="O87" s="32">
        <v>-6914.4550600000002</v>
      </c>
      <c r="Q87" s="32">
        <v>-6574.4602400000003</v>
      </c>
    </row>
    <row r="88" spans="11:17" s="185" customFormat="1" x14ac:dyDescent="0.2">
      <c r="K88" s="185" t="s">
        <v>1936</v>
      </c>
      <c r="L88" s="217"/>
      <c r="N88" s="217"/>
      <c r="O88" s="32">
        <v>-1.52928</v>
      </c>
      <c r="Q88" s="32">
        <v>-1.52928</v>
      </c>
    </row>
    <row r="89" spans="11:17" x14ac:dyDescent="0.2">
      <c r="K89" s="189" t="s">
        <v>1912</v>
      </c>
      <c r="L89" s="189"/>
      <c r="M89" s="189"/>
      <c r="N89" s="189"/>
      <c r="O89" s="190">
        <v>894</v>
      </c>
      <c r="P89" s="189"/>
      <c r="Q89" s="190">
        <v>1005</v>
      </c>
    </row>
    <row r="90" spans="11:17" x14ac:dyDescent="0.2">
      <c r="K90" s="185"/>
      <c r="M90" s="185"/>
      <c r="O90" s="185"/>
      <c r="P90" s="185"/>
      <c r="Q90" s="185"/>
    </row>
    <row r="96" spans="11:17" x14ac:dyDescent="0.2">
      <c r="K96" s="191" t="s">
        <v>1961</v>
      </c>
      <c r="L96" s="233"/>
      <c r="M96" s="185"/>
      <c r="O96" s="192">
        <v>44104</v>
      </c>
      <c r="P96" s="191"/>
      <c r="Q96" s="192">
        <v>43830</v>
      </c>
    </row>
    <row r="97" spans="2:17" x14ac:dyDescent="0.2">
      <c r="K97" s="185" t="s">
        <v>1962</v>
      </c>
      <c r="M97" s="185"/>
      <c r="O97" s="32">
        <v>7809.8961799999997</v>
      </c>
      <c r="P97" s="185"/>
      <c r="Q97" s="32">
        <v>7580.5611799999997</v>
      </c>
    </row>
    <row r="98" spans="2:17" x14ac:dyDescent="0.2">
      <c r="K98" s="185" t="s">
        <v>1963</v>
      </c>
      <c r="M98" s="185"/>
      <c r="O98" s="32">
        <v>-6914.4550600000002</v>
      </c>
      <c r="P98" s="185"/>
      <c r="Q98" s="32">
        <v>-6574.4602400000003</v>
      </c>
    </row>
    <row r="99" spans="2:17" x14ac:dyDescent="0.2">
      <c r="K99" s="185" t="s">
        <v>1936</v>
      </c>
      <c r="M99" s="185"/>
      <c r="O99" s="32">
        <v>-1.52928</v>
      </c>
      <c r="P99" s="185"/>
      <c r="Q99" s="32">
        <v>-1.52928</v>
      </c>
    </row>
    <row r="100" spans="2:17" ht="27.75" customHeight="1" x14ac:dyDescent="0.2">
      <c r="K100" s="189" t="s">
        <v>1912</v>
      </c>
      <c r="L100" s="189"/>
      <c r="M100" s="189"/>
      <c r="N100" s="189"/>
      <c r="O100" s="190">
        <f>SUM(O97:O99)</f>
        <v>893.91183999999953</v>
      </c>
      <c r="P100" s="189"/>
      <c r="Q100" s="190">
        <f>SUM(Q97:Q99)</f>
        <v>1004.5716599999994</v>
      </c>
    </row>
    <row r="101" spans="2:17" ht="20.25" customHeight="1" x14ac:dyDescent="0.2">
      <c r="B101" s="206"/>
      <c r="C101" s="406" t="s">
        <v>1943</v>
      </c>
      <c r="D101" s="406"/>
      <c r="E101" s="406"/>
      <c r="F101" s="406"/>
      <c r="G101" s="406"/>
      <c r="H101" s="406"/>
      <c r="I101" s="207" t="s">
        <v>1942</v>
      </c>
      <c r="K101" s="185"/>
      <c r="M101" s="185"/>
      <c r="O101" s="185"/>
      <c r="P101" s="185"/>
      <c r="Q101" s="185"/>
    </row>
    <row r="102" spans="2:17" ht="39" thickBot="1" x14ac:dyDescent="0.25">
      <c r="B102" s="208" t="s">
        <v>56</v>
      </c>
      <c r="C102" s="209" t="s">
        <v>1959</v>
      </c>
      <c r="D102" s="208" t="s">
        <v>1940</v>
      </c>
      <c r="E102" s="208" t="s">
        <v>1941</v>
      </c>
      <c r="F102" s="209" t="s">
        <v>1960</v>
      </c>
      <c r="G102" s="209" t="s">
        <v>1937</v>
      </c>
      <c r="H102" s="209" t="s">
        <v>1944</v>
      </c>
      <c r="I102" s="210">
        <v>44104</v>
      </c>
    </row>
    <row r="103" spans="2:17" x14ac:dyDescent="0.2">
      <c r="B103" s="194" t="s">
        <v>1945</v>
      </c>
      <c r="C103" s="204">
        <v>14370.221729999999</v>
      </c>
      <c r="D103" s="214">
        <v>0</v>
      </c>
      <c r="E103" s="205">
        <v>0</v>
      </c>
      <c r="F103" s="215">
        <v>-114.71794</v>
      </c>
      <c r="G103" s="215">
        <v>-7190.0647900000004</v>
      </c>
      <c r="H103" s="205">
        <v>0</v>
      </c>
      <c r="I103" s="204">
        <f>C103+D103-E103+G103</f>
        <v>7180.1569399999989</v>
      </c>
    </row>
    <row r="104" spans="2:17" s="180" customFormat="1" x14ac:dyDescent="0.2">
      <c r="B104" s="194" t="s">
        <v>1946</v>
      </c>
      <c r="C104" s="204">
        <v>24023.782790000001</v>
      </c>
      <c r="D104" s="214">
        <v>0</v>
      </c>
      <c r="E104" s="205">
        <v>0</v>
      </c>
      <c r="F104" s="215">
        <v>-193.67313999999999</v>
      </c>
      <c r="G104" s="215">
        <v>-1463.08044</v>
      </c>
      <c r="H104" s="205">
        <v>0</v>
      </c>
      <c r="I104" s="204">
        <f t="shared" ref="I104:I118" si="0">C104+D104-E104+G104</f>
        <v>22560.70235</v>
      </c>
      <c r="L104" s="217"/>
      <c r="N104" s="217"/>
    </row>
    <row r="105" spans="2:17" s="180" customFormat="1" x14ac:dyDescent="0.2">
      <c r="B105" s="194" t="s">
        <v>1947</v>
      </c>
      <c r="C105" s="204">
        <v>60129.21716</v>
      </c>
      <c r="D105" s="214">
        <v>0</v>
      </c>
      <c r="E105" s="205">
        <v>0</v>
      </c>
      <c r="F105" s="215">
        <v>-373.95546000000002</v>
      </c>
      <c r="G105" s="215">
        <v>-35683.997000000003</v>
      </c>
      <c r="H105" s="205">
        <v>0</v>
      </c>
      <c r="I105" s="204">
        <f t="shared" si="0"/>
        <v>24445.220159999997</v>
      </c>
      <c r="L105" s="217"/>
      <c r="N105" s="217"/>
    </row>
    <row r="106" spans="2:17" s="180" customFormat="1" x14ac:dyDescent="0.2">
      <c r="B106" s="194" t="s">
        <v>1948</v>
      </c>
      <c r="C106" s="204">
        <v>65.660769999999999</v>
      </c>
      <c r="D106" s="214">
        <v>0</v>
      </c>
      <c r="E106" s="205">
        <v>0</v>
      </c>
      <c r="F106" s="215">
        <v>-3.4345300000000001</v>
      </c>
      <c r="G106" s="215">
        <v>-630.87990000000002</v>
      </c>
      <c r="H106" s="205">
        <v>0</v>
      </c>
      <c r="I106" s="204">
        <f t="shared" si="0"/>
        <v>-565.21913000000006</v>
      </c>
      <c r="L106" s="217"/>
      <c r="N106" s="217"/>
    </row>
    <row r="107" spans="2:17" s="180" customFormat="1" x14ac:dyDescent="0.2">
      <c r="B107" s="194" t="s">
        <v>1949</v>
      </c>
      <c r="C107" s="204">
        <v>9694.6317099999997</v>
      </c>
      <c r="D107" s="214">
        <v>0</v>
      </c>
      <c r="E107" s="205">
        <v>0</v>
      </c>
      <c r="F107" s="215">
        <v>-242.27712</v>
      </c>
      <c r="G107" s="215">
        <v>-3729.1736700000001</v>
      </c>
      <c r="H107" s="205">
        <v>0</v>
      </c>
      <c r="I107" s="204">
        <f t="shared" si="0"/>
        <v>5965.4580399999995</v>
      </c>
      <c r="L107" s="217"/>
      <c r="N107" s="217"/>
    </row>
    <row r="108" spans="2:17" s="180" customFormat="1" x14ac:dyDescent="0.2">
      <c r="B108" s="194" t="s">
        <v>1950</v>
      </c>
      <c r="C108" s="204">
        <v>1262.1811399999999</v>
      </c>
      <c r="D108" s="214">
        <f>49</f>
        <v>49</v>
      </c>
      <c r="E108" s="205">
        <v>0</v>
      </c>
      <c r="F108" s="215">
        <v>-2.7465099999999998</v>
      </c>
      <c r="G108" s="215">
        <v>-1233.2280499999999</v>
      </c>
      <c r="H108" s="205">
        <v>0</v>
      </c>
      <c r="I108" s="204">
        <f t="shared" si="0"/>
        <v>77.953089999999975</v>
      </c>
      <c r="L108" s="217"/>
      <c r="N108" s="217"/>
    </row>
    <row r="109" spans="2:17" s="180" customFormat="1" x14ac:dyDescent="0.2">
      <c r="B109" s="194" t="s">
        <v>1951</v>
      </c>
      <c r="C109" s="204">
        <v>778.34784000000002</v>
      </c>
      <c r="D109" s="214">
        <v>0</v>
      </c>
      <c r="E109" s="205">
        <v>0</v>
      </c>
      <c r="F109" s="215">
        <v>-6.7276999999999996</v>
      </c>
      <c r="G109" s="215">
        <v>-702.10284000000001</v>
      </c>
      <c r="H109" s="205">
        <v>0</v>
      </c>
      <c r="I109" s="204">
        <f t="shared" si="0"/>
        <v>76.245000000000005</v>
      </c>
      <c r="L109" s="217"/>
      <c r="N109" s="217"/>
    </row>
    <row r="110" spans="2:17" s="180" customFormat="1" x14ac:dyDescent="0.2">
      <c r="B110" s="194" t="s">
        <v>1952</v>
      </c>
      <c r="C110" s="204">
        <v>12492.66149</v>
      </c>
      <c r="D110" s="214">
        <v>0</v>
      </c>
      <c r="E110" s="205">
        <v>0</v>
      </c>
      <c r="F110" s="215">
        <v>-102.7197</v>
      </c>
      <c r="G110" s="215">
        <v>-6083.1548899999998</v>
      </c>
      <c r="H110" s="205">
        <v>0</v>
      </c>
      <c r="I110" s="204">
        <f t="shared" si="0"/>
        <v>6409.5066000000006</v>
      </c>
      <c r="L110" s="217"/>
      <c r="N110" s="217"/>
    </row>
    <row r="111" spans="2:17" s="180" customFormat="1" ht="16.5" customHeight="1" x14ac:dyDescent="0.2">
      <c r="B111" s="194" t="s">
        <v>1953</v>
      </c>
      <c r="C111" s="204">
        <v>1066.16824</v>
      </c>
      <c r="D111" s="214">
        <v>0</v>
      </c>
      <c r="E111" s="205">
        <v>0</v>
      </c>
      <c r="F111" s="215">
        <v>-53.308349999999997</v>
      </c>
      <c r="G111" s="215">
        <v>-284.31119999999999</v>
      </c>
      <c r="H111" s="205">
        <v>0</v>
      </c>
      <c r="I111" s="204">
        <f t="shared" si="0"/>
        <v>781.85703999999998</v>
      </c>
      <c r="L111" s="217"/>
      <c r="N111" s="217"/>
    </row>
    <row r="112" spans="2:17" s="180" customFormat="1" x14ac:dyDescent="0.2">
      <c r="B112" s="194" t="s">
        <v>1954</v>
      </c>
      <c r="C112" s="204">
        <v>590</v>
      </c>
      <c r="D112" s="214">
        <v>0</v>
      </c>
      <c r="E112" s="205">
        <v>0</v>
      </c>
      <c r="F112" s="215">
        <v>-29.517810000000001</v>
      </c>
      <c r="G112" s="215">
        <v>-137.74977999999999</v>
      </c>
      <c r="H112" s="205">
        <v>0</v>
      </c>
      <c r="I112" s="204">
        <f t="shared" si="0"/>
        <v>452.25022000000001</v>
      </c>
      <c r="L112" s="217"/>
      <c r="N112" s="217"/>
    </row>
    <row r="113" spans="2:18" s="180" customFormat="1" ht="25.5" x14ac:dyDescent="0.2">
      <c r="B113" s="194" t="s">
        <v>1955</v>
      </c>
      <c r="C113" s="204">
        <v>16451.422200000001</v>
      </c>
      <c r="D113" s="214">
        <v>0</v>
      </c>
      <c r="E113" s="205">
        <v>0</v>
      </c>
      <c r="F113" s="215">
        <v>-172.50942000000001</v>
      </c>
      <c r="G113" s="215">
        <v>-10471.09527</v>
      </c>
      <c r="H113" s="205">
        <v>0</v>
      </c>
      <c r="I113" s="204">
        <f t="shared" si="0"/>
        <v>5980.3269300000011</v>
      </c>
      <c r="L113" s="217"/>
      <c r="N113" s="217"/>
    </row>
    <row r="114" spans="2:18" s="180" customFormat="1" x14ac:dyDescent="0.2">
      <c r="B114" s="194" t="s">
        <v>1931</v>
      </c>
      <c r="C114" s="204">
        <v>238454.44341000001</v>
      </c>
      <c r="D114" s="214">
        <v>0</v>
      </c>
      <c r="E114" s="205">
        <v>0</v>
      </c>
      <c r="F114" s="215">
        <v>-2481.8320199999998</v>
      </c>
      <c r="G114" s="215">
        <v>-38047.895879999996</v>
      </c>
      <c r="H114" s="205">
        <v>0</v>
      </c>
      <c r="I114" s="204">
        <f t="shared" si="0"/>
        <v>200406.54753000001</v>
      </c>
      <c r="L114" s="217"/>
      <c r="N114" s="217"/>
    </row>
    <row r="115" spans="2:18" s="180" customFormat="1" x14ac:dyDescent="0.2">
      <c r="B115" s="194" t="s">
        <v>1956</v>
      </c>
      <c r="C115" s="204">
        <v>382.22568999999999</v>
      </c>
      <c r="D115" s="214">
        <v>14.758929999999999</v>
      </c>
      <c r="E115" s="205">
        <v>0</v>
      </c>
      <c r="F115" s="215">
        <v>0</v>
      </c>
      <c r="G115" s="215">
        <v>0</v>
      </c>
      <c r="H115" s="205">
        <v>0</v>
      </c>
      <c r="I115" s="204">
        <f t="shared" si="0"/>
        <v>396.98462000000001</v>
      </c>
      <c r="L115" s="217"/>
      <c r="N115" s="217"/>
    </row>
    <row r="116" spans="2:18" s="180" customFormat="1" x14ac:dyDescent="0.2">
      <c r="B116" s="194" t="s">
        <v>1936</v>
      </c>
      <c r="C116" s="204">
        <v>-5524.6294200000002</v>
      </c>
      <c r="D116" s="214">
        <v>0</v>
      </c>
      <c r="E116" s="205">
        <v>0</v>
      </c>
      <c r="F116" s="215">
        <v>0</v>
      </c>
      <c r="G116" s="215">
        <v>0</v>
      </c>
      <c r="H116" s="205">
        <v>0</v>
      </c>
      <c r="I116" s="204">
        <f t="shared" si="0"/>
        <v>-5524.6294200000002</v>
      </c>
      <c r="L116" s="217"/>
      <c r="N116" s="217"/>
    </row>
    <row r="117" spans="2:18" s="180" customFormat="1" x14ac:dyDescent="0.2">
      <c r="B117" s="194" t="s">
        <v>1957</v>
      </c>
      <c r="C117" s="204">
        <v>0</v>
      </c>
      <c r="D117" s="214">
        <v>0</v>
      </c>
      <c r="E117" s="205">
        <v>0</v>
      </c>
      <c r="F117" s="215">
        <f>147.47573-73.68899</f>
        <v>73.786739999999995</v>
      </c>
      <c r="G117" s="215">
        <v>7113.4007600000004</v>
      </c>
      <c r="H117" s="205">
        <v>0</v>
      </c>
      <c r="I117" s="204">
        <f t="shared" si="0"/>
        <v>7113.4007600000004</v>
      </c>
      <c r="L117" s="217"/>
      <c r="N117" s="217"/>
    </row>
    <row r="118" spans="2:18" s="180" customFormat="1" x14ac:dyDescent="0.2">
      <c r="B118" s="194" t="s">
        <v>1958</v>
      </c>
      <c r="C118" s="204">
        <v>20942.48119999998</v>
      </c>
      <c r="D118" s="214">
        <v>10.8</v>
      </c>
      <c r="E118" s="205">
        <v>0</v>
      </c>
      <c r="F118" s="215">
        <v>-95.799000000000007</v>
      </c>
      <c r="G118" s="215">
        <v>-6154.6090200000199</v>
      </c>
      <c r="H118" s="205">
        <v>0</v>
      </c>
      <c r="I118" s="204">
        <f t="shared" si="0"/>
        <v>14798.67217999996</v>
      </c>
      <c r="L118" s="217"/>
      <c r="N118" s="217"/>
    </row>
    <row r="119" spans="2:18" s="180" customFormat="1" x14ac:dyDescent="0.2">
      <c r="B119" s="212" t="s">
        <v>1912</v>
      </c>
      <c r="C119" s="213">
        <f>SUM(C103:C118)</f>
        <v>395178.81594999996</v>
      </c>
      <c r="D119" s="213">
        <f>SUM(D103:D118)</f>
        <v>74.558930000000004</v>
      </c>
      <c r="E119" s="213">
        <v>0</v>
      </c>
      <c r="F119" s="216">
        <f>SUM(F103:F118)</f>
        <v>-3799.4319599999999</v>
      </c>
      <c r="G119" s="216">
        <f>SUM(G103:G118)</f>
        <v>-104697.94197</v>
      </c>
      <c r="H119" s="213">
        <v>0</v>
      </c>
      <c r="I119" s="213">
        <f>SUM(I103:I118)</f>
        <v>290555.43290999992</v>
      </c>
      <c r="L119" s="217"/>
      <c r="N119" s="217"/>
    </row>
    <row r="120" spans="2:18" x14ac:dyDescent="0.2">
      <c r="F120" s="106"/>
      <c r="G120" s="106"/>
    </row>
    <row r="122" spans="2:18" x14ac:dyDescent="0.2">
      <c r="C122" s="211"/>
      <c r="K122" s="191" t="s">
        <v>1964</v>
      </c>
      <c r="L122" s="233"/>
      <c r="M122" s="185"/>
      <c r="O122" s="192">
        <v>44104</v>
      </c>
      <c r="P122" s="191"/>
      <c r="Q122" s="192">
        <v>43830</v>
      </c>
    </row>
    <row r="123" spans="2:18" x14ac:dyDescent="0.2">
      <c r="C123" s="32"/>
      <c r="K123" s="185" t="s">
        <v>1965</v>
      </c>
      <c r="M123" s="185"/>
      <c r="O123" s="32">
        <v>0</v>
      </c>
      <c r="P123" s="185"/>
      <c r="Q123" s="32">
        <v>4</v>
      </c>
    </row>
    <row r="124" spans="2:18" x14ac:dyDescent="0.2">
      <c r="C124" s="32"/>
      <c r="F124" s="32"/>
      <c r="K124" s="185" t="s">
        <v>1967</v>
      </c>
      <c r="M124" s="185"/>
      <c r="O124" s="32">
        <v>0</v>
      </c>
      <c r="P124" s="185"/>
      <c r="Q124" s="32">
        <v>176</v>
      </c>
    </row>
    <row r="125" spans="2:18" s="185" customFormat="1" x14ac:dyDescent="0.2">
      <c r="C125" s="32"/>
      <c r="F125" s="32"/>
      <c r="K125" s="185" t="s">
        <v>1974</v>
      </c>
      <c r="L125" s="217"/>
      <c r="N125" s="217"/>
      <c r="O125" s="32">
        <v>108</v>
      </c>
      <c r="Q125" s="32">
        <v>0</v>
      </c>
    </row>
    <row r="126" spans="2:18" x14ac:dyDescent="0.2">
      <c r="F126" s="32"/>
      <c r="G126" s="32"/>
      <c r="K126" s="185" t="s">
        <v>1966</v>
      </c>
      <c r="M126" s="185"/>
      <c r="O126" s="185">
        <v>119</v>
      </c>
      <c r="P126" s="185"/>
      <c r="Q126" s="185">
        <v>119</v>
      </c>
      <c r="R126" s="185"/>
    </row>
    <row r="127" spans="2:18" x14ac:dyDescent="0.2">
      <c r="K127" s="185" t="s">
        <v>465</v>
      </c>
      <c r="M127" s="185"/>
      <c r="O127" s="185">
        <v>150</v>
      </c>
      <c r="P127" s="185"/>
      <c r="Q127" s="185">
        <v>54</v>
      </c>
      <c r="R127" s="185"/>
    </row>
    <row r="128" spans="2:18" x14ac:dyDescent="0.2">
      <c r="K128" s="185" t="s">
        <v>519</v>
      </c>
      <c r="M128" s="185"/>
      <c r="O128" s="185">
        <v>173</v>
      </c>
      <c r="P128" s="185"/>
      <c r="Q128" s="185">
        <v>173</v>
      </c>
      <c r="R128" s="185"/>
    </row>
    <row r="129" spans="10:17" x14ac:dyDescent="0.2">
      <c r="K129" s="185" t="s">
        <v>1968</v>
      </c>
      <c r="O129">
        <v>0</v>
      </c>
      <c r="Q129">
        <v>22</v>
      </c>
    </row>
    <row r="130" spans="10:17" x14ac:dyDescent="0.2">
      <c r="K130" s="185" t="s">
        <v>1969</v>
      </c>
      <c r="O130">
        <v>0</v>
      </c>
      <c r="Q130">
        <v>63</v>
      </c>
    </row>
    <row r="131" spans="10:17" x14ac:dyDescent="0.2">
      <c r="K131" s="185" t="s">
        <v>1970</v>
      </c>
      <c r="O131">
        <v>56</v>
      </c>
      <c r="Q131">
        <v>5</v>
      </c>
    </row>
    <row r="132" spans="10:17" x14ac:dyDescent="0.2">
      <c r="K132" s="185" t="s">
        <v>1971</v>
      </c>
      <c r="O132">
        <v>112</v>
      </c>
      <c r="Q132">
        <v>99</v>
      </c>
    </row>
    <row r="133" spans="10:17" x14ac:dyDescent="0.2">
      <c r="K133" s="185" t="s">
        <v>1972</v>
      </c>
      <c r="O133">
        <v>26</v>
      </c>
      <c r="Q133">
        <v>26</v>
      </c>
    </row>
    <row r="134" spans="10:17" x14ac:dyDescent="0.2">
      <c r="J134" s="106"/>
      <c r="K134" s="106" t="s">
        <v>1973</v>
      </c>
      <c r="L134" s="106"/>
      <c r="M134" s="106"/>
      <c r="N134" s="106"/>
      <c r="O134" s="106">
        <v>164</v>
      </c>
      <c r="P134" s="106"/>
      <c r="Q134" s="106">
        <v>0</v>
      </c>
    </row>
    <row r="135" spans="10:17" x14ac:dyDescent="0.2">
      <c r="K135" s="185" t="s">
        <v>1831</v>
      </c>
      <c r="O135">
        <v>49</v>
      </c>
      <c r="Q135">
        <v>0</v>
      </c>
    </row>
    <row r="136" spans="10:17" ht="13.5" thickBot="1" x14ac:dyDescent="0.25">
      <c r="K136" s="218" t="s">
        <v>1964</v>
      </c>
      <c r="L136" s="218"/>
      <c r="M136" s="218"/>
      <c r="N136" s="218"/>
      <c r="O136" s="220">
        <v>56</v>
      </c>
      <c r="P136" s="218"/>
      <c r="Q136" s="218">
        <v>24</v>
      </c>
    </row>
    <row r="137" spans="10:17" ht="13.5" thickBot="1" x14ac:dyDescent="0.25">
      <c r="K137" s="219" t="s">
        <v>1669</v>
      </c>
      <c r="L137" s="219"/>
      <c r="M137" s="219"/>
      <c r="N137" s="219"/>
      <c r="O137" s="221">
        <v>1013</v>
      </c>
      <c r="P137" s="219"/>
      <c r="Q137" s="221">
        <v>765</v>
      </c>
    </row>
    <row r="140" spans="10:17" x14ac:dyDescent="0.2">
      <c r="O140" s="32"/>
    </row>
    <row r="147" spans="9:20" x14ac:dyDescent="0.2">
      <c r="K147" s="191" t="s">
        <v>2102</v>
      </c>
      <c r="L147" s="233"/>
      <c r="M147" s="185"/>
      <c r="O147" s="192">
        <v>44104</v>
      </c>
      <c r="P147" s="191"/>
      <c r="Q147" s="192">
        <v>43830</v>
      </c>
    </row>
    <row r="148" spans="9:20" x14ac:dyDescent="0.2">
      <c r="I148" s="185" t="s">
        <v>54</v>
      </c>
      <c r="K148" s="185" t="s">
        <v>2103</v>
      </c>
      <c r="M148" s="185"/>
      <c r="O148" s="32">
        <v>73</v>
      </c>
      <c r="P148" s="185"/>
      <c r="Q148" s="32">
        <v>73</v>
      </c>
    </row>
    <row r="149" spans="9:20" ht="13.5" thickBot="1" x14ac:dyDescent="0.25">
      <c r="K149" s="218"/>
      <c r="L149" s="218"/>
      <c r="M149" s="218"/>
      <c r="N149" s="218"/>
      <c r="O149" s="220"/>
      <c r="P149" s="218"/>
      <c r="Q149" s="220"/>
    </row>
    <row r="150" spans="9:20" ht="13.5" thickBot="1" x14ac:dyDescent="0.25">
      <c r="K150" s="219" t="s">
        <v>1669</v>
      </c>
      <c r="L150" s="219"/>
      <c r="M150" s="219"/>
      <c r="N150" s="219"/>
      <c r="O150" s="221">
        <v>73</v>
      </c>
      <c r="P150" s="219"/>
      <c r="Q150" s="221">
        <v>73</v>
      </c>
      <c r="T150" t="e">
        <f>#REF!=#REF!</f>
        <v>#REF!</v>
      </c>
    </row>
    <row r="151" spans="9:20" x14ac:dyDescent="0.2">
      <c r="T151" t="e">
        <f>#REF!-#REF!</f>
        <v>#REF!</v>
      </c>
    </row>
    <row r="152" spans="9:20" x14ac:dyDescent="0.2">
      <c r="T152" s="193" t="e">
        <f>T151/#REF!</f>
        <v>#REF!</v>
      </c>
    </row>
    <row r="156" spans="9:20" x14ac:dyDescent="0.2">
      <c r="K156" s="191" t="s">
        <v>628</v>
      </c>
      <c r="L156" s="233"/>
      <c r="M156" s="185"/>
      <c r="O156" s="192">
        <v>44104</v>
      </c>
      <c r="P156" s="191"/>
      <c r="Q156" s="192">
        <v>43830</v>
      </c>
    </row>
    <row r="157" spans="9:20" s="185" customFormat="1" x14ac:dyDescent="0.2">
      <c r="K157" s="185" t="s">
        <v>1976</v>
      </c>
      <c r="L157" s="217"/>
      <c r="N157" s="217"/>
      <c r="O157" s="185">
        <v>197</v>
      </c>
      <c r="Q157" s="185">
        <v>165</v>
      </c>
    </row>
    <row r="158" spans="9:20" s="185" customFormat="1" x14ac:dyDescent="0.2">
      <c r="K158" s="185" t="s">
        <v>1977</v>
      </c>
      <c r="L158" s="217"/>
      <c r="N158" s="217"/>
      <c r="O158" s="185">
        <v>914</v>
      </c>
      <c r="Q158" s="185">
        <v>411</v>
      </c>
    </row>
    <row r="159" spans="9:20" s="185" customFormat="1" x14ac:dyDescent="0.2">
      <c r="K159" s="185" t="s">
        <v>1978</v>
      </c>
      <c r="L159" s="217"/>
      <c r="N159" s="217"/>
      <c r="O159" s="185">
        <v>247</v>
      </c>
      <c r="Q159" s="185">
        <v>148</v>
      </c>
    </row>
    <row r="160" spans="9:20" s="185" customFormat="1" x14ac:dyDescent="0.2">
      <c r="K160" s="185" t="s">
        <v>1979</v>
      </c>
      <c r="L160" s="217"/>
      <c r="N160" s="217"/>
      <c r="O160" s="185">
        <v>103</v>
      </c>
      <c r="Q160" s="185">
        <v>128</v>
      </c>
    </row>
    <row r="161" spans="11:17" s="185" customFormat="1" x14ac:dyDescent="0.2">
      <c r="K161" s="185" t="s">
        <v>1980</v>
      </c>
      <c r="L161" s="217"/>
      <c r="N161" s="217"/>
      <c r="O161" s="185">
        <v>26</v>
      </c>
      <c r="Q161" s="185">
        <v>17</v>
      </c>
    </row>
    <row r="162" spans="11:17" x14ac:dyDescent="0.2">
      <c r="K162" s="185" t="s">
        <v>1981</v>
      </c>
      <c r="M162" s="185"/>
      <c r="O162" s="32">
        <v>46</v>
      </c>
      <c r="P162" s="185"/>
      <c r="Q162" s="32">
        <v>46</v>
      </c>
    </row>
    <row r="163" spans="11:17" x14ac:dyDescent="0.2">
      <c r="K163" s="185" t="s">
        <v>1982</v>
      </c>
      <c r="M163" s="185"/>
      <c r="O163" s="32">
        <v>213</v>
      </c>
      <c r="P163" s="185"/>
      <c r="Q163" s="32">
        <v>214</v>
      </c>
    </row>
    <row r="164" spans="11:17" x14ac:dyDescent="0.2">
      <c r="K164" s="185" t="s">
        <v>1983</v>
      </c>
      <c r="M164" s="185"/>
      <c r="O164" s="32">
        <v>58</v>
      </c>
      <c r="P164" s="185"/>
      <c r="Q164" s="32">
        <v>30</v>
      </c>
    </row>
    <row r="165" spans="11:17" ht="13.5" thickBot="1" x14ac:dyDescent="0.25">
      <c r="K165" s="218" t="s">
        <v>1984</v>
      </c>
      <c r="L165" s="218"/>
      <c r="M165" s="218"/>
      <c r="N165" s="218"/>
      <c r="O165" s="218">
        <v>-1</v>
      </c>
      <c r="P165" s="218"/>
      <c r="Q165" s="220">
        <v>-1</v>
      </c>
    </row>
    <row r="166" spans="11:17" ht="13.5" thickBot="1" x14ac:dyDescent="0.25">
      <c r="K166" s="219" t="s">
        <v>1669</v>
      </c>
      <c r="L166" s="219"/>
      <c r="M166" s="219"/>
      <c r="N166" s="219"/>
      <c r="O166" s="221">
        <v>1803</v>
      </c>
      <c r="P166" s="219"/>
      <c r="Q166" s="221">
        <v>1158</v>
      </c>
    </row>
    <row r="167" spans="11:17" x14ac:dyDescent="0.2">
      <c r="K167" s="185"/>
      <c r="M167" s="185"/>
      <c r="O167" s="185"/>
      <c r="P167" s="185"/>
      <c r="Q167" s="185"/>
    </row>
    <row r="170" spans="11:17" x14ac:dyDescent="0.2">
      <c r="Q170" s="32">
        <f>O166-Q166</f>
        <v>645</v>
      </c>
    </row>
    <row r="171" spans="11:17" x14ac:dyDescent="0.2">
      <c r="Q171" s="32">
        <f>Q166</f>
        <v>1158</v>
      </c>
    </row>
    <row r="172" spans="11:17" x14ac:dyDescent="0.2">
      <c r="Q172">
        <f>Q170/Q171</f>
        <v>0.55699481865284972</v>
      </c>
    </row>
    <row r="173" spans="11:17" ht="13.5" thickBot="1" x14ac:dyDescent="0.25"/>
    <row r="174" spans="11:17" ht="13.5" thickBot="1" x14ac:dyDescent="0.25">
      <c r="K174" s="222" t="s">
        <v>1975</v>
      </c>
      <c r="L174" s="222"/>
      <c r="M174" s="223">
        <v>44104</v>
      </c>
      <c r="N174" s="223"/>
      <c r="O174" s="223">
        <v>43830</v>
      </c>
    </row>
    <row r="175" spans="11:17" x14ac:dyDescent="0.2">
      <c r="K175" s="224" t="s">
        <v>1985</v>
      </c>
      <c r="L175" s="224"/>
      <c r="M175" s="225">
        <v>787</v>
      </c>
      <c r="N175" s="225"/>
      <c r="O175" s="225">
        <v>630</v>
      </c>
    </row>
    <row r="176" spans="11:17" ht="15.75" thickBot="1" x14ac:dyDescent="0.3">
      <c r="K176" s="226"/>
      <c r="L176" s="226"/>
      <c r="M176" s="227"/>
      <c r="N176" s="227"/>
      <c r="O176" s="227"/>
    </row>
    <row r="177" spans="11:15" ht="13.5" thickBot="1" x14ac:dyDescent="0.25">
      <c r="K177" s="222" t="s">
        <v>1986</v>
      </c>
      <c r="L177" s="222"/>
      <c r="M177" s="223">
        <v>44104</v>
      </c>
      <c r="N177" s="223"/>
      <c r="O177" s="223">
        <v>43830</v>
      </c>
    </row>
    <row r="178" spans="11:15" ht="13.5" thickBot="1" x14ac:dyDescent="0.25">
      <c r="K178" s="224" t="s">
        <v>1985</v>
      </c>
      <c r="L178" s="224"/>
      <c r="M178" s="228">
        <v>2504</v>
      </c>
      <c r="N178" s="228"/>
      <c r="O178" s="228">
        <v>2982</v>
      </c>
    </row>
    <row r="179" spans="11:15" ht="13.5" thickBot="1" x14ac:dyDescent="0.25">
      <c r="K179" s="229" t="s">
        <v>1669</v>
      </c>
      <c r="L179" s="234"/>
      <c r="M179" s="230">
        <f>M178+M175</f>
        <v>3291</v>
      </c>
      <c r="N179" s="230"/>
      <c r="O179" s="230">
        <v>3612</v>
      </c>
    </row>
    <row r="183" spans="11:15" ht="13.5" thickBot="1" x14ac:dyDescent="0.25"/>
    <row r="184" spans="11:15" ht="13.5" thickBot="1" x14ac:dyDescent="0.25">
      <c r="K184" s="222" t="s">
        <v>1987</v>
      </c>
      <c r="L184" s="222"/>
      <c r="M184" s="223">
        <v>44104</v>
      </c>
      <c r="N184" s="223"/>
      <c r="O184" s="223">
        <v>43830</v>
      </c>
    </row>
    <row r="185" spans="11:15" x14ac:dyDescent="0.2">
      <c r="K185" s="224" t="s">
        <v>1988</v>
      </c>
      <c r="L185" s="224"/>
      <c r="M185" s="225">
        <v>70</v>
      </c>
      <c r="N185" s="225"/>
      <c r="O185" s="225">
        <v>56</v>
      </c>
    </row>
    <row r="186" spans="11:15" ht="15.75" thickBot="1" x14ac:dyDescent="0.3">
      <c r="K186" s="226"/>
      <c r="L186" s="226"/>
      <c r="M186" s="227"/>
      <c r="N186" s="227"/>
      <c r="O186" s="227"/>
    </row>
    <row r="187" spans="11:15" ht="13.5" thickBot="1" x14ac:dyDescent="0.25">
      <c r="K187" s="222" t="s">
        <v>1989</v>
      </c>
      <c r="L187" s="222"/>
      <c r="M187" s="223">
        <v>44104</v>
      </c>
      <c r="N187" s="223"/>
      <c r="O187" s="223">
        <v>43830</v>
      </c>
    </row>
    <row r="188" spans="11:15" ht="13.5" thickBot="1" x14ac:dyDescent="0.25">
      <c r="K188" s="224" t="s">
        <v>1988</v>
      </c>
      <c r="L188" s="224"/>
      <c r="M188" s="231">
        <v>36</v>
      </c>
      <c r="N188" s="231"/>
      <c r="O188" s="231">
        <v>98</v>
      </c>
    </row>
    <row r="189" spans="11:15" ht="13.5" thickBot="1" x14ac:dyDescent="0.25">
      <c r="K189" s="229" t="s">
        <v>1669</v>
      </c>
      <c r="L189" s="234"/>
      <c r="M189" s="232">
        <f>M188+M185</f>
        <v>106</v>
      </c>
      <c r="N189" s="232"/>
      <c r="O189" s="232">
        <f>O188+O185</f>
        <v>154</v>
      </c>
    </row>
    <row r="206" spans="11:15" ht="13.5" thickBot="1" x14ac:dyDescent="0.25"/>
    <row r="207" spans="11:15" ht="13.5" thickBot="1" x14ac:dyDescent="0.25">
      <c r="K207" s="222" t="s">
        <v>1990</v>
      </c>
      <c r="M207" s="223">
        <v>44104</v>
      </c>
      <c r="O207" s="223">
        <v>43830</v>
      </c>
    </row>
    <row r="208" spans="11:15" ht="20.100000000000001" customHeight="1" thickBot="1" x14ac:dyDescent="0.25">
      <c r="K208" s="224" t="s">
        <v>1992</v>
      </c>
      <c r="M208" s="235">
        <v>1585.3641</v>
      </c>
      <c r="N208" s="32"/>
      <c r="O208" s="235">
        <v>2535</v>
      </c>
    </row>
    <row r="209" spans="11:15" ht="13.5" thickBot="1" x14ac:dyDescent="0.25">
      <c r="K209" s="222" t="s">
        <v>1991</v>
      </c>
      <c r="M209" s="236">
        <v>44104</v>
      </c>
      <c r="N209" s="32"/>
      <c r="O209" s="236">
        <v>43830</v>
      </c>
    </row>
    <row r="210" spans="11:15" ht="20.100000000000001" customHeight="1" thickBot="1" x14ac:dyDescent="0.25">
      <c r="K210" s="224" t="s">
        <v>1992</v>
      </c>
      <c r="M210" s="228">
        <v>23887.281559999999</v>
      </c>
      <c r="N210" s="32"/>
      <c r="O210" s="228">
        <v>22812</v>
      </c>
    </row>
    <row r="211" spans="11:15" ht="13.5" thickBot="1" x14ac:dyDescent="0.25">
      <c r="K211" s="229" t="s">
        <v>1669</v>
      </c>
      <c r="M211" s="230">
        <f>M208+M210</f>
        <v>25472.645659999998</v>
      </c>
      <c r="N211" s="32"/>
      <c r="O211" s="230">
        <f>O208+O210</f>
        <v>25347</v>
      </c>
    </row>
    <row r="224" spans="11:15" ht="13.5" thickBot="1" x14ac:dyDescent="0.25">
      <c r="K224" s="185"/>
      <c r="M224" s="185"/>
      <c r="O224" s="185"/>
    </row>
    <row r="225" spans="11:15" ht="13.5" thickBot="1" x14ac:dyDescent="0.25">
      <c r="K225" s="222" t="s">
        <v>1058</v>
      </c>
      <c r="L225" s="222"/>
      <c r="M225" s="223">
        <v>44104</v>
      </c>
      <c r="N225" s="223"/>
      <c r="O225" s="223">
        <v>43830</v>
      </c>
    </row>
    <row r="226" spans="11:15" ht="12.75" customHeight="1" x14ac:dyDescent="0.2">
      <c r="K226" s="224" t="s">
        <v>1993</v>
      </c>
      <c r="L226" s="224"/>
      <c r="M226" s="235">
        <v>1293</v>
      </c>
      <c r="N226" s="225"/>
      <c r="O226" s="235">
        <v>1450</v>
      </c>
    </row>
    <row r="227" spans="11:15" x14ac:dyDescent="0.2">
      <c r="K227" s="224" t="s">
        <v>1994</v>
      </c>
      <c r="L227" s="224"/>
      <c r="M227" s="237">
        <f>345+104</f>
        <v>449</v>
      </c>
      <c r="N227" s="238"/>
      <c r="O227" s="243">
        <v>503</v>
      </c>
    </row>
    <row r="228" spans="11:15" s="185" customFormat="1" x14ac:dyDescent="0.2">
      <c r="K228" s="224" t="s">
        <v>1995</v>
      </c>
      <c r="L228" s="245"/>
      <c r="M228" s="246">
        <v>721</v>
      </c>
      <c r="N228" s="239"/>
      <c r="O228" s="246">
        <v>0</v>
      </c>
    </row>
    <row r="229" spans="11:15" s="217" customFormat="1" ht="25.5" x14ac:dyDescent="0.2">
      <c r="K229" s="224" t="s">
        <v>1996</v>
      </c>
      <c r="L229" s="245"/>
      <c r="M229" s="246">
        <v>40</v>
      </c>
      <c r="N229" s="239"/>
      <c r="O229" s="246">
        <v>0</v>
      </c>
    </row>
    <row r="230" spans="11:15" s="217" customFormat="1" ht="13.5" thickBot="1" x14ac:dyDescent="0.25">
      <c r="K230" s="224" t="s">
        <v>1916</v>
      </c>
      <c r="L230" s="241"/>
      <c r="M230" s="242">
        <f>193+58</f>
        <v>251</v>
      </c>
      <c r="N230" s="240"/>
      <c r="O230" s="242">
        <v>40</v>
      </c>
    </row>
    <row r="231" spans="11:15" ht="13.5" thickBot="1" x14ac:dyDescent="0.25">
      <c r="K231" s="229" t="s">
        <v>1669</v>
      </c>
      <c r="L231" s="234"/>
      <c r="M231" s="244">
        <f>SUM(M226:M230)</f>
        <v>2754</v>
      </c>
      <c r="N231" s="234"/>
      <c r="O231" s="244">
        <v>1993</v>
      </c>
    </row>
    <row r="257" spans="11:18" ht="14.25" x14ac:dyDescent="0.2">
      <c r="K257" s="114"/>
      <c r="L257" s="114"/>
      <c r="M257" s="114"/>
    </row>
    <row r="259" spans="11:18" ht="13.5" thickBot="1" x14ac:dyDescent="0.25"/>
    <row r="260" spans="11:18" ht="13.5" thickBot="1" x14ac:dyDescent="0.25">
      <c r="K260" s="222" t="s">
        <v>686</v>
      </c>
      <c r="L260" s="222"/>
      <c r="M260" s="223">
        <v>44104</v>
      </c>
      <c r="N260" s="223"/>
      <c r="O260" s="223">
        <v>43830</v>
      </c>
    </row>
    <row r="261" spans="11:18" x14ac:dyDescent="0.2">
      <c r="K261" s="224" t="s">
        <v>1997</v>
      </c>
      <c r="L261" s="224"/>
      <c r="M261" s="235">
        <v>198</v>
      </c>
      <c r="N261" s="225"/>
      <c r="O261" s="235">
        <v>24</v>
      </c>
    </row>
    <row r="262" spans="11:18" x14ac:dyDescent="0.2">
      <c r="K262" s="224" t="s">
        <v>1998</v>
      </c>
      <c r="L262" s="224"/>
      <c r="M262" s="237">
        <v>1707</v>
      </c>
      <c r="N262" s="238"/>
      <c r="O262" s="243">
        <v>2128</v>
      </c>
    </row>
    <row r="263" spans="11:18" ht="25.5" x14ac:dyDescent="0.2">
      <c r="K263" s="224" t="s">
        <v>1999</v>
      </c>
      <c r="L263" s="245"/>
      <c r="M263" s="246">
        <v>2074</v>
      </c>
      <c r="N263" s="239"/>
      <c r="O263" s="246">
        <v>2074</v>
      </c>
    </row>
    <row r="264" spans="11:18" ht="26.25" thickBot="1" x14ac:dyDescent="0.25">
      <c r="K264" s="224" t="s">
        <v>2000</v>
      </c>
      <c r="L264" s="245"/>
      <c r="M264" s="246">
        <v>1002</v>
      </c>
      <c r="N264" s="239"/>
      <c r="O264" s="246">
        <v>713</v>
      </c>
    </row>
    <row r="265" spans="11:18" ht="13.5" thickBot="1" x14ac:dyDescent="0.25">
      <c r="K265" s="229" t="s">
        <v>1669</v>
      </c>
      <c r="L265" s="229"/>
      <c r="M265" s="247">
        <v>4981</v>
      </c>
      <c r="N265" s="247"/>
      <c r="O265" s="247">
        <v>4939</v>
      </c>
    </row>
    <row r="270" spans="11:18" x14ac:dyDescent="0.2">
      <c r="O270">
        <v>1707586.41</v>
      </c>
      <c r="R270">
        <v>753</v>
      </c>
    </row>
    <row r="271" spans="11:18" x14ac:dyDescent="0.2">
      <c r="O271">
        <v>-953719.1</v>
      </c>
      <c r="R271">
        <v>954</v>
      </c>
    </row>
    <row r="272" spans="11:18" x14ac:dyDescent="0.2">
      <c r="O272">
        <f>SUM(O270:O271)</f>
        <v>753867.30999999994</v>
      </c>
    </row>
    <row r="306" spans="11:17" ht="13.5" thickBot="1" x14ac:dyDescent="0.25"/>
    <row r="307" spans="11:17" ht="13.5" thickBot="1" x14ac:dyDescent="0.25">
      <c r="K307" s="222" t="s">
        <v>2001</v>
      </c>
      <c r="L307" s="222"/>
      <c r="M307" s="223"/>
      <c r="N307" s="223"/>
      <c r="O307" s="223">
        <v>44104</v>
      </c>
      <c r="P307" s="223"/>
      <c r="Q307" s="223">
        <v>43830</v>
      </c>
    </row>
    <row r="308" spans="11:17" ht="25.5" x14ac:dyDescent="0.2">
      <c r="K308" s="224" t="s">
        <v>2002</v>
      </c>
      <c r="L308" s="224"/>
      <c r="M308" s="235"/>
      <c r="N308" s="225"/>
      <c r="O308" s="235">
        <v>34</v>
      </c>
      <c r="Q308">
        <v>34</v>
      </c>
    </row>
    <row r="309" spans="11:17" x14ac:dyDescent="0.2">
      <c r="K309" s="224" t="s">
        <v>2003</v>
      </c>
      <c r="L309" s="224"/>
      <c r="M309" s="237"/>
      <c r="N309" s="238"/>
      <c r="O309" s="243">
        <v>111</v>
      </c>
      <c r="Q309">
        <v>253</v>
      </c>
    </row>
    <row r="310" spans="11:17" ht="13.5" thickBot="1" x14ac:dyDescent="0.25">
      <c r="K310" s="241" t="s">
        <v>2004</v>
      </c>
      <c r="L310" s="241"/>
      <c r="M310" s="242"/>
      <c r="N310" s="240"/>
      <c r="O310" s="242">
        <v>514</v>
      </c>
      <c r="P310" s="218"/>
      <c r="Q310" s="218">
        <v>514</v>
      </c>
    </row>
    <row r="311" spans="11:17" ht="13.5" thickBot="1" x14ac:dyDescent="0.25">
      <c r="K311" s="249" t="s">
        <v>1669</v>
      </c>
      <c r="L311" s="250"/>
      <c r="M311" s="250"/>
      <c r="N311" s="250"/>
      <c r="O311" s="251">
        <v>659</v>
      </c>
      <c r="P311" s="252"/>
      <c r="Q311" s="250">
        <v>801</v>
      </c>
    </row>
    <row r="313" spans="11:17" x14ac:dyDescent="0.2">
      <c r="O313" s="32"/>
    </row>
    <row r="317" spans="11:17" x14ac:dyDescent="0.2">
      <c r="O317" s="32"/>
    </row>
    <row r="318" spans="11:17" ht="13.5" thickBot="1" x14ac:dyDescent="0.25"/>
    <row r="319" spans="11:17" ht="205.5" thickBot="1" x14ac:dyDescent="0.3">
      <c r="K319" s="222" t="s">
        <v>2005</v>
      </c>
      <c r="L319" s="253" t="s">
        <v>2006</v>
      </c>
      <c r="M319" s="254" t="s">
        <v>2007</v>
      </c>
      <c r="N319" s="254" t="s">
        <v>2008</v>
      </c>
      <c r="O319" s="226"/>
    </row>
    <row r="320" spans="11:17" ht="15" x14ac:dyDescent="0.25">
      <c r="K320" s="255"/>
      <c r="L320" s="256">
        <v>15</v>
      </c>
      <c r="M320" s="256">
        <v>1</v>
      </c>
      <c r="N320" s="204">
        <v>5037</v>
      </c>
      <c r="O320" s="226"/>
    </row>
    <row r="321" spans="11:15" ht="15" x14ac:dyDescent="0.25">
      <c r="K321" s="255"/>
      <c r="L321" s="256">
        <v>14</v>
      </c>
      <c r="M321" s="256">
        <v>2</v>
      </c>
      <c r="N321" s="205">
        <v>635</v>
      </c>
      <c r="O321" s="226"/>
    </row>
    <row r="322" spans="11:15" ht="15.75" thickBot="1" x14ac:dyDescent="0.3">
      <c r="K322" s="255"/>
      <c r="L322" s="257">
        <v>66</v>
      </c>
      <c r="M322" s="257">
        <v>3</v>
      </c>
      <c r="N322" s="258">
        <v>4110</v>
      </c>
      <c r="O322" s="226"/>
    </row>
    <row r="323" spans="11:15" ht="15.75" thickBot="1" x14ac:dyDescent="0.3">
      <c r="K323" s="229" t="s">
        <v>2009</v>
      </c>
      <c r="L323" s="259">
        <v>95</v>
      </c>
      <c r="M323" s="232"/>
      <c r="N323" s="230">
        <v>9782</v>
      </c>
      <c r="O323" s="226"/>
    </row>
    <row r="324" spans="11:15" ht="15" x14ac:dyDescent="0.25">
      <c r="K324" s="407"/>
      <c r="L324" s="409"/>
      <c r="M324" s="409"/>
      <c r="N324" s="409"/>
      <c r="O324" s="226"/>
    </row>
    <row r="325" spans="11:15" ht="15" x14ac:dyDescent="0.25">
      <c r="K325" s="408"/>
      <c r="L325" s="410"/>
      <c r="M325" s="410"/>
      <c r="N325" s="410"/>
      <c r="O325" s="226"/>
    </row>
    <row r="326" spans="11:15" ht="15.75" thickBot="1" x14ac:dyDescent="0.3">
      <c r="K326" s="255"/>
      <c r="L326" s="255"/>
      <c r="M326" s="255"/>
      <c r="N326" s="255"/>
      <c r="O326" s="226"/>
    </row>
    <row r="327" spans="11:15" ht="205.5" thickBot="1" x14ac:dyDescent="0.3">
      <c r="K327" s="222" t="s">
        <v>2010</v>
      </c>
      <c r="L327" s="253" t="s">
        <v>2006</v>
      </c>
      <c r="M327" s="254" t="s">
        <v>2007</v>
      </c>
      <c r="N327" s="254" t="s">
        <v>2008</v>
      </c>
      <c r="O327" s="226"/>
    </row>
    <row r="328" spans="11:15" ht="15" x14ac:dyDescent="0.25">
      <c r="K328" s="255"/>
      <c r="L328" s="256">
        <v>3</v>
      </c>
      <c r="M328" s="256">
        <v>1</v>
      </c>
      <c r="N328" s="205">
        <v>34</v>
      </c>
      <c r="O328" s="226"/>
    </row>
    <row r="329" spans="11:15" ht="15" x14ac:dyDescent="0.25">
      <c r="K329" s="255"/>
      <c r="L329" s="256">
        <v>3</v>
      </c>
      <c r="M329" s="256">
        <v>2</v>
      </c>
      <c r="N329" s="204">
        <v>1019</v>
      </c>
      <c r="O329" s="226"/>
    </row>
    <row r="330" spans="11:15" ht="15.75" thickBot="1" x14ac:dyDescent="0.3">
      <c r="K330" s="255"/>
      <c r="L330" s="257">
        <v>25</v>
      </c>
      <c r="M330" s="257">
        <v>3</v>
      </c>
      <c r="N330" s="258">
        <v>36760</v>
      </c>
      <c r="O330" s="226"/>
    </row>
    <row r="331" spans="11:15" ht="15.75" thickBot="1" x14ac:dyDescent="0.3">
      <c r="K331" s="229" t="s">
        <v>2009</v>
      </c>
      <c r="L331" s="259">
        <v>31</v>
      </c>
      <c r="M331" s="232"/>
      <c r="N331" s="230">
        <v>37813</v>
      </c>
      <c r="O331" s="226"/>
    </row>
  </sheetData>
  <mergeCells count="5">
    <mergeCell ref="C101:H101"/>
    <mergeCell ref="K324:K325"/>
    <mergeCell ref="L324:L325"/>
    <mergeCell ref="M324:M325"/>
    <mergeCell ref="N324:N32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68"/>
  <sheetViews>
    <sheetView showGridLines="0" topLeftCell="A148" workbookViewId="0">
      <selection activeCell="C161" sqref="C161:K168"/>
    </sheetView>
  </sheetViews>
  <sheetFormatPr defaultRowHeight="12.75" x14ac:dyDescent="0.2"/>
  <cols>
    <col min="1" max="1" width="9.140625" style="248"/>
    <col min="2" max="2" width="43.28515625" bestFit="1" customWidth="1"/>
    <col min="3" max="3" width="25.28515625" bestFit="1" customWidth="1"/>
    <col min="4" max="4" width="15" customWidth="1"/>
    <col min="5" max="5" width="14.28515625" bestFit="1" customWidth="1"/>
    <col min="6" max="6" width="10.7109375" bestFit="1" customWidth="1"/>
    <col min="10" max="10" width="10.7109375" bestFit="1" customWidth="1"/>
  </cols>
  <sheetData>
    <row r="5" spans="2:6" ht="13.5" thickBot="1" x14ac:dyDescent="0.25"/>
    <row r="6" spans="2:6" ht="15.75" thickBot="1" x14ac:dyDescent="0.3">
      <c r="B6" s="222" t="s">
        <v>2013</v>
      </c>
      <c r="C6" s="253" t="s">
        <v>2006</v>
      </c>
      <c r="D6" s="254" t="s">
        <v>2007</v>
      </c>
      <c r="E6" s="254" t="s">
        <v>2008</v>
      </c>
      <c r="F6" s="226"/>
    </row>
    <row r="7" spans="2:6" ht="15" x14ac:dyDescent="0.25">
      <c r="B7" s="255"/>
      <c r="C7" s="256">
        <v>14</v>
      </c>
      <c r="D7" s="256">
        <v>1</v>
      </c>
      <c r="E7" s="204">
        <v>4952</v>
      </c>
      <c r="F7" s="226"/>
    </row>
    <row r="8" spans="2:6" ht="15" x14ac:dyDescent="0.25">
      <c r="B8" s="255"/>
      <c r="C8" s="256">
        <v>15</v>
      </c>
      <c r="D8" s="256">
        <v>2</v>
      </c>
      <c r="E8" s="205">
        <v>686</v>
      </c>
      <c r="F8" s="226"/>
    </row>
    <row r="9" spans="2:6" ht="15.75" thickBot="1" x14ac:dyDescent="0.3">
      <c r="B9" s="255"/>
      <c r="C9" s="257">
        <v>50</v>
      </c>
      <c r="D9" s="257">
        <v>3</v>
      </c>
      <c r="E9" s="258">
        <v>3275</v>
      </c>
      <c r="F9" s="226"/>
    </row>
    <row r="10" spans="2:6" ht="15.75" thickBot="1" x14ac:dyDescent="0.3">
      <c r="B10" s="229" t="s">
        <v>2009</v>
      </c>
      <c r="C10" s="259">
        <f>SUM(C7:C9)</f>
        <v>79</v>
      </c>
      <c r="D10" s="232"/>
      <c r="E10" s="230">
        <f>SUM(E7:E9)</f>
        <v>8913</v>
      </c>
      <c r="F10" s="226"/>
    </row>
    <row r="11" spans="2:6" ht="15" x14ac:dyDescent="0.25">
      <c r="B11" s="407"/>
      <c r="C11" s="409"/>
      <c r="D11" s="409"/>
      <c r="E11" s="409"/>
      <c r="F11" s="226"/>
    </row>
    <row r="12" spans="2:6" ht="15" x14ac:dyDescent="0.25">
      <c r="B12" s="408"/>
      <c r="C12" s="410"/>
      <c r="D12" s="410"/>
      <c r="E12" s="410"/>
      <c r="F12" s="226"/>
    </row>
    <row r="13" spans="2:6" ht="15.75" thickBot="1" x14ac:dyDescent="0.3">
      <c r="B13" s="255"/>
      <c r="C13" s="255"/>
      <c r="D13" s="255"/>
      <c r="E13" s="255"/>
      <c r="F13" s="226"/>
    </row>
    <row r="14" spans="2:6" ht="15.75" thickBot="1" x14ac:dyDescent="0.3">
      <c r="B14" s="222" t="s">
        <v>2014</v>
      </c>
      <c r="C14" s="253" t="s">
        <v>2006</v>
      </c>
      <c r="D14" s="254" t="s">
        <v>2007</v>
      </c>
      <c r="E14" s="254" t="s">
        <v>2008</v>
      </c>
      <c r="F14" s="226"/>
    </row>
    <row r="15" spans="2:6" ht="15" x14ac:dyDescent="0.25">
      <c r="B15" s="255"/>
      <c r="C15" s="256">
        <v>3</v>
      </c>
      <c r="D15" s="256">
        <v>1</v>
      </c>
      <c r="E15" s="205">
        <v>34</v>
      </c>
      <c r="F15" s="226"/>
    </row>
    <row r="16" spans="2:6" ht="15" x14ac:dyDescent="0.25">
      <c r="B16" s="255"/>
      <c r="C16" s="256">
        <v>2</v>
      </c>
      <c r="D16" s="256">
        <v>2</v>
      </c>
      <c r="E16" s="204">
        <v>29</v>
      </c>
      <c r="F16" s="226"/>
    </row>
    <row r="17" spans="2:7" ht="15.75" thickBot="1" x14ac:dyDescent="0.3">
      <c r="B17" s="255"/>
      <c r="C17" s="257">
        <v>24</v>
      </c>
      <c r="D17" s="257">
        <v>3</v>
      </c>
      <c r="E17" s="258">
        <v>36744</v>
      </c>
      <c r="F17" s="226"/>
    </row>
    <row r="18" spans="2:7" ht="15.75" thickBot="1" x14ac:dyDescent="0.3">
      <c r="B18" s="229" t="s">
        <v>2009</v>
      </c>
      <c r="C18" s="259">
        <f>SUM(C15:C17)</f>
        <v>29</v>
      </c>
      <c r="D18" s="232"/>
      <c r="E18" s="230">
        <f>SUM(E15:E17)</f>
        <v>36807</v>
      </c>
      <c r="F18" s="226"/>
    </row>
    <row r="27" spans="2:7" ht="13.5" thickBot="1" x14ac:dyDescent="0.25"/>
    <row r="28" spans="2:7" ht="16.5" thickBot="1" x14ac:dyDescent="0.3">
      <c r="B28" s="222" t="s">
        <v>2013</v>
      </c>
      <c r="C28" s="253" t="s">
        <v>2006</v>
      </c>
      <c r="D28" s="254" t="s">
        <v>2007</v>
      </c>
      <c r="E28" s="412" t="s">
        <v>2008</v>
      </c>
      <c r="F28" s="412"/>
      <c r="G28" s="261"/>
    </row>
    <row r="29" spans="2:7" ht="15.75" x14ac:dyDescent="0.25">
      <c r="B29" s="255"/>
      <c r="C29" s="256">
        <v>10</v>
      </c>
      <c r="D29" s="256">
        <v>1</v>
      </c>
      <c r="E29" s="411">
        <v>4696</v>
      </c>
      <c r="F29" s="411"/>
      <c r="G29" s="261"/>
    </row>
    <row r="30" spans="2:7" ht="15.75" x14ac:dyDescent="0.25">
      <c r="B30" s="255"/>
      <c r="C30" s="256">
        <v>15</v>
      </c>
      <c r="D30" s="256">
        <v>2</v>
      </c>
      <c r="E30" s="414">
        <v>1714</v>
      </c>
      <c r="F30" s="414"/>
      <c r="G30" s="261"/>
    </row>
    <row r="31" spans="2:7" ht="16.5" thickBot="1" x14ac:dyDescent="0.3">
      <c r="B31" s="255"/>
      <c r="C31" s="257">
        <v>20</v>
      </c>
      <c r="D31" s="257">
        <v>3</v>
      </c>
      <c r="E31" s="415">
        <v>1417</v>
      </c>
      <c r="F31" s="415"/>
      <c r="G31" s="261"/>
    </row>
    <row r="32" spans="2:7" ht="16.5" thickBot="1" x14ac:dyDescent="0.3">
      <c r="B32" s="229" t="s">
        <v>2009</v>
      </c>
      <c r="C32" s="259">
        <f>SUM(C29:C31)</f>
        <v>45</v>
      </c>
      <c r="D32" s="232"/>
      <c r="E32" s="413">
        <f>SUM(E29:F31)</f>
        <v>7827</v>
      </c>
      <c r="F32" s="413"/>
      <c r="G32" s="261"/>
    </row>
    <row r="33" spans="2:7" ht="15" x14ac:dyDescent="0.25">
      <c r="B33" s="416"/>
      <c r="C33" s="416"/>
      <c r="D33" s="416"/>
      <c r="E33" s="416"/>
      <c r="F33" s="418"/>
      <c r="G33" s="418"/>
    </row>
    <row r="34" spans="2:7" ht="15" x14ac:dyDescent="0.25">
      <c r="B34" s="417" t="s">
        <v>2011</v>
      </c>
      <c r="C34" s="417"/>
      <c r="D34" s="417"/>
      <c r="E34" s="417"/>
      <c r="F34" s="418"/>
      <c r="G34" s="418"/>
    </row>
    <row r="35" spans="2:7" ht="16.5" thickBot="1" x14ac:dyDescent="0.3">
      <c r="B35" s="255"/>
      <c r="C35" s="255"/>
      <c r="D35" s="255"/>
      <c r="E35" s="419"/>
      <c r="F35" s="419"/>
      <c r="G35" s="261"/>
    </row>
    <row r="36" spans="2:7" ht="16.5" thickBot="1" x14ac:dyDescent="0.3">
      <c r="B36" s="222" t="s">
        <v>2014</v>
      </c>
      <c r="C36" s="253" t="s">
        <v>2006</v>
      </c>
      <c r="D36" s="254" t="s">
        <v>2007</v>
      </c>
      <c r="E36" s="412" t="s">
        <v>2008</v>
      </c>
      <c r="F36" s="412"/>
      <c r="G36" s="261"/>
    </row>
    <row r="37" spans="2:7" ht="15.75" x14ac:dyDescent="0.25">
      <c r="B37" s="260" t="s">
        <v>2012</v>
      </c>
      <c r="C37" s="256">
        <v>3</v>
      </c>
      <c r="D37" s="256">
        <v>1</v>
      </c>
      <c r="E37" s="420">
        <v>626</v>
      </c>
      <c r="F37" s="420"/>
      <c r="G37" s="261"/>
    </row>
    <row r="38" spans="2:7" ht="15.75" x14ac:dyDescent="0.25">
      <c r="B38" s="255"/>
      <c r="C38" s="256">
        <v>4</v>
      </c>
      <c r="D38" s="256">
        <v>2</v>
      </c>
      <c r="E38" s="414">
        <v>9300</v>
      </c>
      <c r="F38" s="414"/>
      <c r="G38" s="261"/>
    </row>
    <row r="39" spans="2:7" ht="16.5" thickBot="1" x14ac:dyDescent="0.3">
      <c r="B39" s="255"/>
      <c r="C39" s="257">
        <v>13</v>
      </c>
      <c r="D39" s="257">
        <v>3</v>
      </c>
      <c r="E39" s="415">
        <v>3127</v>
      </c>
      <c r="F39" s="415"/>
      <c r="G39" s="261"/>
    </row>
    <row r="40" spans="2:7" ht="16.5" thickBot="1" x14ac:dyDescent="0.3">
      <c r="B40" s="229" t="s">
        <v>2009</v>
      </c>
      <c r="C40" s="259">
        <f>SUM(C37:C39)</f>
        <v>20</v>
      </c>
      <c r="D40" s="232"/>
      <c r="E40" s="413">
        <f>SUM(E37:F39)</f>
        <v>13053</v>
      </c>
      <c r="F40" s="413"/>
      <c r="G40" s="261"/>
    </row>
    <row r="41" spans="2:7" x14ac:dyDescent="0.2">
      <c r="G41" s="32"/>
    </row>
    <row r="46" spans="2:7" ht="13.5" thickBot="1" x14ac:dyDescent="0.25"/>
    <row r="47" spans="2:7" ht="13.5" thickBot="1" x14ac:dyDescent="0.25">
      <c r="B47" s="222" t="s">
        <v>2014</v>
      </c>
      <c r="C47" s="253" t="s">
        <v>2006</v>
      </c>
      <c r="D47" s="254" t="s">
        <v>2007</v>
      </c>
      <c r="E47" s="254" t="s">
        <v>2008</v>
      </c>
    </row>
    <row r="48" spans="2:7" ht="15" x14ac:dyDescent="0.25">
      <c r="B48" s="255"/>
      <c r="C48" s="256">
        <v>21</v>
      </c>
      <c r="D48" s="256">
        <v>1</v>
      </c>
      <c r="E48" s="204">
        <v>2111</v>
      </c>
    </row>
    <row r="49" spans="2:5" ht="15" x14ac:dyDescent="0.25">
      <c r="B49" s="255"/>
      <c r="C49" s="256">
        <v>18</v>
      </c>
      <c r="D49" s="256">
        <v>2</v>
      </c>
      <c r="E49" s="204">
        <v>4459</v>
      </c>
    </row>
    <row r="50" spans="2:5" ht="15.75" thickBot="1" x14ac:dyDescent="0.3">
      <c r="B50" s="255"/>
      <c r="C50" s="257">
        <v>8</v>
      </c>
      <c r="D50" s="257">
        <v>3</v>
      </c>
      <c r="E50" s="258">
        <v>2840</v>
      </c>
    </row>
    <row r="51" spans="2:5" ht="13.5" thickBot="1" x14ac:dyDescent="0.25">
      <c r="B51" s="229" t="s">
        <v>2009</v>
      </c>
      <c r="C51" s="259">
        <f>SUM(C48:C50)</f>
        <v>47</v>
      </c>
      <c r="D51" s="232"/>
      <c r="E51" s="230">
        <f>SUM(E48:E50)</f>
        <v>9410</v>
      </c>
    </row>
    <row r="57" spans="2:5" ht="13.5" thickBot="1" x14ac:dyDescent="0.25"/>
    <row r="58" spans="2:5" ht="13.5" thickBot="1" x14ac:dyDescent="0.25">
      <c r="B58" s="222" t="s">
        <v>2015</v>
      </c>
      <c r="C58" s="223">
        <v>44104</v>
      </c>
      <c r="D58" s="223">
        <v>43830</v>
      </c>
    </row>
    <row r="59" spans="2:5" x14ac:dyDescent="0.2">
      <c r="B59" s="268" t="s">
        <v>2016</v>
      </c>
      <c r="C59" s="269">
        <f>SUM(C60:C61)</f>
        <v>54363</v>
      </c>
      <c r="D59" s="269">
        <v>53148</v>
      </c>
    </row>
    <row r="60" spans="2:5" x14ac:dyDescent="0.2">
      <c r="B60" s="270" t="s">
        <v>1081</v>
      </c>
      <c r="C60" s="262">
        <v>54362</v>
      </c>
      <c r="D60" s="262">
        <v>53147</v>
      </c>
    </row>
    <row r="61" spans="2:5" x14ac:dyDescent="0.2">
      <c r="B61" s="270" t="s">
        <v>2017</v>
      </c>
      <c r="C61" s="205">
        <v>1</v>
      </c>
      <c r="D61" s="205">
        <v>1</v>
      </c>
    </row>
    <row r="62" spans="2:5" ht="15" x14ac:dyDescent="0.25">
      <c r="B62" s="264"/>
      <c r="C62" s="264"/>
      <c r="D62" s="264"/>
    </row>
    <row r="63" spans="2:5" x14ac:dyDescent="0.2">
      <c r="B63" s="268" t="s">
        <v>1091</v>
      </c>
      <c r="C63" s="269">
        <v>8547</v>
      </c>
      <c r="D63" s="269">
        <v>8547</v>
      </c>
    </row>
    <row r="64" spans="2:5" x14ac:dyDescent="0.2">
      <c r="B64" s="270" t="s">
        <v>1081</v>
      </c>
      <c r="C64" s="262">
        <v>8547</v>
      </c>
      <c r="D64" s="262">
        <v>8547</v>
      </c>
    </row>
    <row r="65" spans="2:11" x14ac:dyDescent="0.2">
      <c r="B65" s="270" t="s">
        <v>2017</v>
      </c>
      <c r="C65" s="205" t="s">
        <v>45</v>
      </c>
      <c r="D65" s="205" t="s">
        <v>45</v>
      </c>
    </row>
    <row r="66" spans="2:11" ht="15.75" thickBot="1" x14ac:dyDescent="0.3">
      <c r="B66" s="264"/>
      <c r="C66" s="264"/>
      <c r="D66" s="264"/>
      <c r="I66" s="114">
        <v>54362.783259999997</v>
      </c>
      <c r="J66" s="114"/>
      <c r="K66" s="114">
        <v>53148.196060000002</v>
      </c>
    </row>
    <row r="67" spans="2:11" ht="15" thickBot="1" x14ac:dyDescent="0.25">
      <c r="B67" s="229" t="s">
        <v>2009</v>
      </c>
      <c r="C67" s="263">
        <f>C63+C59</f>
        <v>62910</v>
      </c>
      <c r="D67" s="263">
        <v>61695</v>
      </c>
      <c r="I67" s="114">
        <v>8546.6066599999995</v>
      </c>
      <c r="J67" s="114"/>
      <c r="K67" s="114">
        <v>8546.6066599999995</v>
      </c>
    </row>
    <row r="96" spans="2:11" ht="13.5" thickBot="1" x14ac:dyDescent="0.25">
      <c r="B96" s="266"/>
      <c r="C96" s="266"/>
      <c r="D96" s="266"/>
      <c r="E96" s="266"/>
      <c r="F96" s="266"/>
      <c r="G96" s="266"/>
      <c r="H96" s="266"/>
      <c r="I96" s="266"/>
      <c r="J96" s="266"/>
      <c r="K96" s="266"/>
    </row>
    <row r="97" spans="2:11" ht="26.25" thickBot="1" x14ac:dyDescent="0.25">
      <c r="B97" s="272" t="s">
        <v>1123</v>
      </c>
      <c r="C97" s="266"/>
      <c r="D97" s="273" t="s">
        <v>2018</v>
      </c>
      <c r="E97" s="273" t="s">
        <v>2019</v>
      </c>
      <c r="F97" s="267" t="s">
        <v>2020</v>
      </c>
      <c r="G97" s="266"/>
      <c r="H97" s="273" t="s">
        <v>2021</v>
      </c>
      <c r="I97" s="273" t="s">
        <v>2022</v>
      </c>
      <c r="J97" s="267" t="s">
        <v>2020</v>
      </c>
      <c r="K97" s="266"/>
    </row>
    <row r="98" spans="2:11" ht="25.5" x14ac:dyDescent="0.2">
      <c r="B98" s="194" t="s">
        <v>2023</v>
      </c>
      <c r="C98" s="266"/>
      <c r="D98" s="274">
        <v>5585.5461100000002</v>
      </c>
      <c r="E98" s="274">
        <v>4216.5631700000004</v>
      </c>
      <c r="F98" s="275">
        <f>(D98-E98)/E98</f>
        <v>0.32466795463661929</v>
      </c>
      <c r="G98" s="266"/>
      <c r="H98" s="153">
        <v>15525.499039999999</v>
      </c>
      <c r="I98" s="153">
        <v>12546.8905</v>
      </c>
      <c r="J98" s="275">
        <f>(H98-I98)/I98</f>
        <v>0.23739814577962559</v>
      </c>
      <c r="K98" s="266"/>
    </row>
    <row r="99" spans="2:11" x14ac:dyDescent="0.2">
      <c r="B99" s="194" t="s">
        <v>2024</v>
      </c>
      <c r="C99" s="266"/>
      <c r="D99" s="274">
        <v>774.21271999999999</v>
      </c>
      <c r="E99" s="274">
        <v>753.24162999999999</v>
      </c>
      <c r="F99" s="275">
        <f t="shared" ref="F99:F104" si="0">(D99-E99)/E99</f>
        <v>2.7841119190398445E-2</v>
      </c>
      <c r="G99" s="266"/>
      <c r="H99" s="153">
        <v>2385.7507700000001</v>
      </c>
      <c r="I99" s="153">
        <v>2180.19245</v>
      </c>
      <c r="J99" s="275">
        <f t="shared" ref="J99:J104" si="1">(H99-I99)/I99</f>
        <v>9.4284483922508808E-2</v>
      </c>
      <c r="K99" s="266"/>
    </row>
    <row r="100" spans="2:11" x14ac:dyDescent="0.2">
      <c r="B100" s="194" t="s">
        <v>2025</v>
      </c>
      <c r="C100" s="266"/>
      <c r="D100" s="274">
        <v>7365.5476200000003</v>
      </c>
      <c r="E100" s="274">
        <v>5897.9600399999999</v>
      </c>
      <c r="F100" s="275">
        <f t="shared" si="0"/>
        <v>0.24882969196922541</v>
      </c>
      <c r="G100" s="266"/>
      <c r="H100" s="153">
        <v>20310.231460000003</v>
      </c>
      <c r="I100" s="153">
        <v>17324.689329999997</v>
      </c>
      <c r="J100" s="275">
        <f t="shared" si="1"/>
        <v>0.17232875424958663</v>
      </c>
      <c r="K100" s="266"/>
    </row>
    <row r="101" spans="2:11" x14ac:dyDescent="0.2">
      <c r="B101" s="276" t="s">
        <v>2026</v>
      </c>
      <c r="C101" s="266"/>
      <c r="D101" s="274">
        <v>192.4751</v>
      </c>
      <c r="E101" s="274">
        <v>209.88656</v>
      </c>
      <c r="F101" s="275">
        <f t="shared" si="0"/>
        <v>-8.2956526611327588E-2</v>
      </c>
      <c r="G101" s="266"/>
      <c r="H101" s="153">
        <v>1196.4150900000002</v>
      </c>
      <c r="I101" s="153">
        <v>1068.7221100000002</v>
      </c>
      <c r="J101" s="275">
        <f t="shared" si="1"/>
        <v>0.11948192968516391</v>
      </c>
      <c r="K101" s="266"/>
    </row>
    <row r="102" spans="2:11" x14ac:dyDescent="0.2">
      <c r="B102" s="276" t="s">
        <v>2027</v>
      </c>
      <c r="C102" s="266"/>
      <c r="D102" s="274">
        <v>1510.5630700000002</v>
      </c>
      <c r="E102" s="274">
        <v>1834.33725</v>
      </c>
      <c r="F102" s="275">
        <f t="shared" si="0"/>
        <v>-0.17650744430992713</v>
      </c>
      <c r="G102" s="266"/>
      <c r="H102" s="153">
        <v>5756.6220400000002</v>
      </c>
      <c r="I102" s="153">
        <v>6985.2708600000005</v>
      </c>
      <c r="J102" s="275">
        <f t="shared" si="1"/>
        <v>-0.17589136407517922</v>
      </c>
      <c r="K102" s="266"/>
    </row>
    <row r="103" spans="2:11" x14ac:dyDescent="0.2">
      <c r="B103" s="276" t="s">
        <v>2028</v>
      </c>
      <c r="C103" s="266"/>
      <c r="D103" s="277">
        <v>-463.15197999999998</v>
      </c>
      <c r="E103" s="277">
        <v>-290.70119</v>
      </c>
      <c r="F103" s="275">
        <f t="shared" si="0"/>
        <v>0.59322354339175554</v>
      </c>
      <c r="G103" s="266"/>
      <c r="H103" s="277">
        <v>-1441.6813</v>
      </c>
      <c r="I103" s="277">
        <v>-1524.3127199999999</v>
      </c>
      <c r="J103" s="275">
        <f t="shared" si="1"/>
        <v>-5.4208968353947701E-2</v>
      </c>
      <c r="K103" s="266"/>
    </row>
    <row r="104" spans="2:11" ht="13.5" thickBot="1" x14ac:dyDescent="0.25">
      <c r="B104" s="276" t="s">
        <v>2029</v>
      </c>
      <c r="C104" s="266"/>
      <c r="D104" s="277">
        <v>-1805.7626600000001</v>
      </c>
      <c r="E104" s="277">
        <v>-1874.67202</v>
      </c>
      <c r="F104" s="275">
        <f t="shared" si="0"/>
        <v>-3.6758088489526761E-2</v>
      </c>
      <c r="G104" s="266"/>
      <c r="H104" s="277">
        <v>-5097.4141099999997</v>
      </c>
      <c r="I104" s="277">
        <v>-5796.4675699999998</v>
      </c>
      <c r="J104" s="275">
        <f t="shared" si="1"/>
        <v>-0.12059990874752709</v>
      </c>
      <c r="K104" s="266"/>
    </row>
    <row r="105" spans="2:11" ht="13.5" thickBot="1" x14ac:dyDescent="0.25">
      <c r="B105" s="278" t="s">
        <v>1912</v>
      </c>
      <c r="C105" s="266"/>
      <c r="D105" s="279">
        <f>SUM(D98:D104)</f>
        <v>13159.429979999999</v>
      </c>
      <c r="E105" s="279">
        <f>SUM(E98:E104)</f>
        <v>10746.615440000001</v>
      </c>
      <c r="F105" s="280">
        <f>(D105-E105)/E105</f>
        <v>0.22451855223359488</v>
      </c>
      <c r="G105" s="266"/>
      <c r="H105" s="279">
        <f>SUM(H98:H104)</f>
        <v>38635.422990000014</v>
      </c>
      <c r="I105" s="279">
        <f>SUM(I98:I104)</f>
        <v>32784.984959999994</v>
      </c>
      <c r="J105" s="280">
        <f>(H105-I105)/I105</f>
        <v>0.17844870257338744</v>
      </c>
      <c r="K105" s="266"/>
    </row>
    <row r="106" spans="2:11" x14ac:dyDescent="0.2"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</row>
    <row r="107" spans="2:11" x14ac:dyDescent="0.2"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</row>
    <row r="113" spans="2:25" ht="13.5" thickBot="1" x14ac:dyDescent="0.25"/>
    <row r="114" spans="2:25" ht="26.25" thickBot="1" x14ac:dyDescent="0.25">
      <c r="B114" s="272" t="s">
        <v>1391</v>
      </c>
      <c r="D114" s="273" t="s">
        <v>2018</v>
      </c>
      <c r="E114" s="273" t="s">
        <v>2019</v>
      </c>
      <c r="F114" s="284" t="s">
        <v>2020</v>
      </c>
      <c r="H114" s="273" t="s">
        <v>2021</v>
      </c>
      <c r="I114" s="273" t="s">
        <v>2022</v>
      </c>
      <c r="J114" s="284" t="s">
        <v>2020</v>
      </c>
      <c r="O114" s="369" t="s">
        <v>1574</v>
      </c>
      <c r="P114" s="370"/>
      <c r="Q114" s="370"/>
      <c r="R114" s="369" t="s">
        <v>1575</v>
      </c>
      <c r="S114" s="370"/>
      <c r="T114" s="370"/>
      <c r="U114" s="370"/>
      <c r="V114" s="27">
        <v>0</v>
      </c>
      <c r="W114" s="27">
        <v>-2941.89</v>
      </c>
      <c r="X114" s="27">
        <v>0</v>
      </c>
      <c r="Y114" s="27">
        <v>-3013.9</v>
      </c>
    </row>
    <row r="115" spans="2:25" s="283" customFormat="1" x14ac:dyDescent="0.2">
      <c r="B115" s="314" t="s">
        <v>2077</v>
      </c>
      <c r="D115" s="274">
        <v>0</v>
      </c>
      <c r="E115" s="274">
        <v>-2.9418899999999999</v>
      </c>
      <c r="F115" s="275">
        <f>(D115-E115)/E115</f>
        <v>-1</v>
      </c>
      <c r="H115" s="153">
        <v>0</v>
      </c>
      <c r="I115" s="153">
        <v>3.0139</v>
      </c>
      <c r="J115" s="275">
        <f t="shared" ref="J115" si="2">(H115-I115)/I115</f>
        <v>-1</v>
      </c>
      <c r="O115" s="282"/>
      <c r="R115" s="282"/>
      <c r="V115" s="27"/>
      <c r="W115" s="27"/>
      <c r="X115" s="27"/>
      <c r="Y115" s="27"/>
    </row>
    <row r="116" spans="2:25" x14ac:dyDescent="0.2">
      <c r="B116" s="276" t="s">
        <v>2069</v>
      </c>
      <c r="D116" s="274">
        <v>-80.638559999999998</v>
      </c>
      <c r="E116" s="274">
        <v>-32.452959999999997</v>
      </c>
      <c r="F116" s="275">
        <f t="shared" ref="F116:F120" si="3">(D116-E116)/E116</f>
        <v>1.4847828980777102</v>
      </c>
      <c r="H116" s="153">
        <v>128.42408</v>
      </c>
      <c r="I116" s="153">
        <v>224.58113</v>
      </c>
      <c r="J116" s="275">
        <f>(H116-I116)/I116</f>
        <v>-0.42816175161288039</v>
      </c>
      <c r="O116" s="369" t="s">
        <v>1392</v>
      </c>
      <c r="P116" s="370"/>
      <c r="Q116" s="370"/>
      <c r="R116" s="369" t="s">
        <v>1393</v>
      </c>
      <c r="S116" s="370"/>
      <c r="T116" s="370"/>
      <c r="U116" s="370"/>
      <c r="V116" s="27">
        <v>-80638.559999999998</v>
      </c>
      <c r="W116" s="27">
        <v>-32452.959999999999</v>
      </c>
      <c r="X116" s="27">
        <v>-128424.08</v>
      </c>
      <c r="Y116" s="27">
        <v>-224581.13</v>
      </c>
    </row>
    <row r="117" spans="2:25" s="283" customFormat="1" x14ac:dyDescent="0.2">
      <c r="B117" s="276" t="s">
        <v>2078</v>
      </c>
      <c r="D117" s="274">
        <v>-2.44</v>
      </c>
      <c r="E117" s="274">
        <v>-2.4009800000000001</v>
      </c>
      <c r="F117" s="275">
        <f t="shared" si="3"/>
        <v>1.6251697223633614E-2</v>
      </c>
      <c r="H117" s="153">
        <v>2.44</v>
      </c>
      <c r="I117" s="153">
        <v>3.3398500000000002</v>
      </c>
      <c r="J117" s="275">
        <f t="shared" ref="J117:J121" si="4">(H117-I117)/I117</f>
        <v>-0.26942826773657508</v>
      </c>
      <c r="O117" s="282"/>
      <c r="R117" s="282"/>
      <c r="V117" s="27"/>
      <c r="W117" s="27"/>
      <c r="X117" s="27"/>
      <c r="Y117" s="27"/>
    </row>
    <row r="118" spans="2:25" x14ac:dyDescent="0.2">
      <c r="B118" s="276" t="s">
        <v>2070</v>
      </c>
      <c r="D118" s="274">
        <v>-35.146230000000003</v>
      </c>
      <c r="E118" s="274">
        <v>-19.676629999999999</v>
      </c>
      <c r="F118" s="275">
        <f t="shared" si="3"/>
        <v>0.78619153788021645</v>
      </c>
      <c r="H118" s="153">
        <v>177.57424</v>
      </c>
      <c r="I118" s="153">
        <v>85.010379999999998</v>
      </c>
      <c r="J118" s="275">
        <f t="shared" si="4"/>
        <v>1.088853619993229</v>
      </c>
      <c r="O118" s="369" t="s">
        <v>1576</v>
      </c>
      <c r="P118" s="370"/>
      <c r="Q118" s="370"/>
      <c r="R118" s="369" t="s">
        <v>1577</v>
      </c>
      <c r="S118" s="370"/>
      <c r="T118" s="370"/>
      <c r="U118" s="370"/>
      <c r="V118" s="27">
        <v>-2440</v>
      </c>
      <c r="W118" s="27">
        <v>-2400.98</v>
      </c>
      <c r="X118" s="27">
        <v>-2440</v>
      </c>
      <c r="Y118" s="27">
        <v>-3339.85</v>
      </c>
    </row>
    <row r="119" spans="2:25" x14ac:dyDescent="0.2">
      <c r="B119" s="276" t="s">
        <v>2071</v>
      </c>
      <c r="D119" s="315">
        <v>-0.19387000000000001</v>
      </c>
      <c r="E119" s="315">
        <v>-8.3300000000000006E-3</v>
      </c>
      <c r="F119" s="275">
        <f t="shared" si="3"/>
        <v>22.273709483793517</v>
      </c>
      <c r="H119" s="153">
        <v>138.91991999999999</v>
      </c>
      <c r="I119" s="153">
        <v>14.41037</v>
      </c>
      <c r="J119" s="275">
        <f t="shared" si="4"/>
        <v>8.6402743302219154</v>
      </c>
      <c r="O119" s="369" t="s">
        <v>1394</v>
      </c>
      <c r="P119" s="370"/>
      <c r="Q119" s="370"/>
      <c r="R119" s="369" t="s">
        <v>1395</v>
      </c>
      <c r="S119" s="370"/>
      <c r="T119" s="370"/>
      <c r="U119" s="370"/>
      <c r="V119" s="27">
        <v>-35146.230000000003</v>
      </c>
      <c r="W119" s="27">
        <v>-19676.63</v>
      </c>
      <c r="X119" s="27">
        <v>-177574.24</v>
      </c>
      <c r="Y119" s="27">
        <v>-85010.38</v>
      </c>
    </row>
    <row r="120" spans="2:25" x14ac:dyDescent="0.2">
      <c r="B120" s="194" t="s">
        <v>2072</v>
      </c>
      <c r="D120" s="315">
        <v>-385.29659000000004</v>
      </c>
      <c r="E120" s="315">
        <v>-46.276809999999998</v>
      </c>
      <c r="F120" s="275">
        <f t="shared" si="3"/>
        <v>7.3259107531396408</v>
      </c>
      <c r="H120" s="153">
        <v>463.88139999999999</v>
      </c>
      <c r="I120" s="153">
        <v>46.276809999999998</v>
      </c>
      <c r="J120" s="275">
        <f t="shared" si="4"/>
        <v>9.0240574058583558</v>
      </c>
      <c r="O120" s="369" t="s">
        <v>2073</v>
      </c>
      <c r="P120" s="370"/>
      <c r="Q120" s="370"/>
      <c r="R120" s="369" t="s">
        <v>2074</v>
      </c>
      <c r="S120" s="370"/>
      <c r="T120" s="370"/>
      <c r="U120" s="370"/>
      <c r="V120" s="27">
        <v>0</v>
      </c>
      <c r="W120" s="27">
        <v>0</v>
      </c>
      <c r="X120" s="27">
        <v>0</v>
      </c>
      <c r="Y120" s="27">
        <v>0</v>
      </c>
    </row>
    <row r="121" spans="2:25" ht="13.5" thickBot="1" x14ac:dyDescent="0.25">
      <c r="B121" s="314" t="s">
        <v>2079</v>
      </c>
      <c r="D121" s="315">
        <v>0</v>
      </c>
      <c r="E121" s="315">
        <v>0</v>
      </c>
      <c r="F121" s="275">
        <v>0</v>
      </c>
      <c r="H121" s="277">
        <v>0</v>
      </c>
      <c r="I121" s="277">
        <v>0.73462000000000005</v>
      </c>
      <c r="J121" s="275">
        <f t="shared" si="4"/>
        <v>-1</v>
      </c>
      <c r="O121" s="369" t="s">
        <v>1396</v>
      </c>
      <c r="P121" s="370"/>
      <c r="Q121" s="370"/>
      <c r="R121" s="369" t="s">
        <v>1397</v>
      </c>
      <c r="S121" s="370"/>
      <c r="T121" s="370"/>
      <c r="U121" s="370"/>
      <c r="V121" s="27">
        <v>-193.87</v>
      </c>
      <c r="W121" s="27">
        <v>-8.33</v>
      </c>
      <c r="X121" s="27">
        <v>-138919.92000000001</v>
      </c>
      <c r="Y121" s="27">
        <v>-14410.37</v>
      </c>
    </row>
    <row r="122" spans="2:25" ht="13.5" thickBot="1" x14ac:dyDescent="0.25">
      <c r="B122" s="229" t="s">
        <v>1912</v>
      </c>
      <c r="D122" s="279">
        <f>SUM(D115:D121)</f>
        <v>-503.71525000000003</v>
      </c>
      <c r="E122" s="279">
        <f>SUM(E115:E121)</f>
        <v>-103.7576</v>
      </c>
      <c r="F122" s="280">
        <f>(D122-E122)/E122</f>
        <v>3.854731123310486</v>
      </c>
      <c r="H122" s="279">
        <f t="shared" ref="H122:I122" si="5">SUM(H115:H121)</f>
        <v>911.23964000000001</v>
      </c>
      <c r="I122" s="279">
        <f t="shared" si="5"/>
        <v>377.36706000000004</v>
      </c>
      <c r="J122" s="280">
        <f>(H122-I122)/I122</f>
        <v>1.4147302098916634</v>
      </c>
      <c r="O122" s="369" t="s">
        <v>2075</v>
      </c>
      <c r="P122" s="370"/>
      <c r="Q122" s="370"/>
      <c r="R122" s="369" t="s">
        <v>2076</v>
      </c>
      <c r="S122" s="370"/>
      <c r="T122" s="370"/>
      <c r="U122" s="370"/>
      <c r="V122" s="27">
        <v>0</v>
      </c>
      <c r="W122" s="27">
        <v>0</v>
      </c>
      <c r="X122" s="27">
        <v>0</v>
      </c>
      <c r="Y122" s="27">
        <v>0</v>
      </c>
    </row>
    <row r="123" spans="2:25" ht="13.5" thickBot="1" x14ac:dyDescent="0.25">
      <c r="O123" s="369" t="s">
        <v>1578</v>
      </c>
      <c r="P123" s="370"/>
      <c r="Q123" s="370"/>
      <c r="R123" s="369" t="s">
        <v>1579</v>
      </c>
      <c r="S123" s="370"/>
      <c r="T123" s="370"/>
      <c r="U123" s="370"/>
      <c r="V123" s="27">
        <v>0</v>
      </c>
      <c r="W123" s="27">
        <v>0</v>
      </c>
      <c r="X123" s="27">
        <v>0</v>
      </c>
      <c r="Y123" s="27">
        <v>-734.62</v>
      </c>
    </row>
    <row r="124" spans="2:25" ht="13.5" thickBot="1" x14ac:dyDescent="0.25">
      <c r="C124" s="273" t="s">
        <v>2056</v>
      </c>
      <c r="D124" s="273" t="s">
        <v>2057</v>
      </c>
      <c r="E124" s="253" t="s">
        <v>2068</v>
      </c>
    </row>
    <row r="125" spans="2:25" x14ac:dyDescent="0.2">
      <c r="C125" s="205">
        <v>21</v>
      </c>
      <c r="D125" s="205">
        <v>43</v>
      </c>
      <c r="E125" s="275">
        <v>-0.51529999999999998</v>
      </c>
    </row>
    <row r="126" spans="2:25" x14ac:dyDescent="0.2">
      <c r="C126" s="205">
        <v>73</v>
      </c>
      <c r="D126" s="205">
        <v>46</v>
      </c>
      <c r="E126" s="275">
        <v>0.59899999999999998</v>
      </c>
    </row>
    <row r="127" spans="2:25" ht="13.5" thickBot="1" x14ac:dyDescent="0.25">
      <c r="C127" s="205">
        <v>137</v>
      </c>
      <c r="D127" s="205">
        <v>0</v>
      </c>
      <c r="E127" s="275">
        <v>1</v>
      </c>
      <c r="O127" s="369" t="s">
        <v>1574</v>
      </c>
      <c r="P127" s="370"/>
      <c r="Q127" s="370"/>
      <c r="R127" s="369" t="s">
        <v>1575</v>
      </c>
      <c r="S127" s="370"/>
      <c r="T127" s="370"/>
      <c r="U127" s="370"/>
      <c r="V127" s="315">
        <f>V114/1000</f>
        <v>0</v>
      </c>
      <c r="W127" s="315">
        <f t="shared" ref="W127:Y127" si="6">W114/1000</f>
        <v>-2.9418899999999999</v>
      </c>
      <c r="X127" s="315">
        <f t="shared" si="6"/>
        <v>0</v>
      </c>
      <c r="Y127" s="315">
        <f t="shared" si="6"/>
        <v>-3.0139</v>
      </c>
    </row>
    <row r="128" spans="2:25" ht="13.5" thickBot="1" x14ac:dyDescent="0.25">
      <c r="C128" s="312">
        <v>309</v>
      </c>
      <c r="D128" s="312">
        <v>89</v>
      </c>
      <c r="E128" s="313">
        <v>2.4573999999999998</v>
      </c>
      <c r="O128" s="369" t="s">
        <v>1392</v>
      </c>
      <c r="P128" s="370"/>
      <c r="Q128" s="370"/>
      <c r="R128" s="369" t="s">
        <v>1393</v>
      </c>
      <c r="S128" s="370"/>
      <c r="T128" s="370"/>
      <c r="U128" s="370"/>
      <c r="V128" s="315">
        <f>V116/1000</f>
        <v>-80.638559999999998</v>
      </c>
      <c r="W128" s="315">
        <f>W116/1000</f>
        <v>-32.452959999999997</v>
      </c>
      <c r="X128" s="315">
        <f>X116/1000</f>
        <v>-128.42408</v>
      </c>
      <c r="Y128" s="315">
        <f>Y116/1000</f>
        <v>-224.58113</v>
      </c>
    </row>
    <row r="129" spans="15:25" x14ac:dyDescent="0.2">
      <c r="O129" s="369" t="s">
        <v>1576</v>
      </c>
      <c r="P129" s="370"/>
      <c r="Q129" s="370"/>
      <c r="R129" s="369" t="s">
        <v>1577</v>
      </c>
      <c r="S129" s="370"/>
      <c r="T129" s="370"/>
      <c r="U129" s="370"/>
      <c r="V129" s="315">
        <f t="shared" ref="V129:Y130" si="7">V118/1000</f>
        <v>-2.44</v>
      </c>
      <c r="W129" s="315">
        <f t="shared" si="7"/>
        <v>-2.4009800000000001</v>
      </c>
      <c r="X129" s="315">
        <f t="shared" si="7"/>
        <v>-2.44</v>
      </c>
      <c r="Y129" s="315">
        <f t="shared" si="7"/>
        <v>-3.3398499999999998</v>
      </c>
    </row>
    <row r="130" spans="15:25" x14ac:dyDescent="0.2">
      <c r="O130" s="369" t="s">
        <v>1394</v>
      </c>
      <c r="P130" s="370"/>
      <c r="Q130" s="370"/>
      <c r="R130" s="369" t="s">
        <v>1395</v>
      </c>
      <c r="S130" s="370"/>
      <c r="T130" s="370"/>
      <c r="U130" s="370"/>
      <c r="V130" s="315">
        <f t="shared" si="7"/>
        <v>-35.146230000000003</v>
      </c>
      <c r="W130" s="315">
        <f t="shared" si="7"/>
        <v>-19.676629999999999</v>
      </c>
      <c r="X130" s="315">
        <f t="shared" si="7"/>
        <v>-177.57424</v>
      </c>
      <c r="Y130" s="315">
        <f t="shared" si="7"/>
        <v>-85.010379999999998</v>
      </c>
    </row>
    <row r="131" spans="15:25" x14ac:dyDescent="0.2">
      <c r="O131" s="369" t="s">
        <v>1396</v>
      </c>
      <c r="P131" s="370"/>
      <c r="Q131" s="370"/>
      <c r="R131" s="369" t="s">
        <v>1397</v>
      </c>
      <c r="S131" s="370"/>
      <c r="T131" s="370"/>
      <c r="U131" s="370"/>
      <c r="V131" s="315">
        <f>V121/1000</f>
        <v>-0.19387000000000001</v>
      </c>
      <c r="W131" s="315">
        <f>W121/1000</f>
        <v>-8.3300000000000006E-3</v>
      </c>
      <c r="X131" s="315">
        <f>X121/1000</f>
        <v>-138.91992000000002</v>
      </c>
      <c r="Y131" s="315">
        <f>Y121/1000</f>
        <v>-14.41037</v>
      </c>
    </row>
    <row r="132" spans="15:25" x14ac:dyDescent="0.2">
      <c r="O132" s="369" t="s">
        <v>1398</v>
      </c>
      <c r="P132" s="370"/>
      <c r="Q132" s="370"/>
      <c r="R132" s="369" t="s">
        <v>1399</v>
      </c>
      <c r="S132" s="370"/>
      <c r="T132" s="370"/>
      <c r="U132" s="370"/>
      <c r="V132" s="315" t="e">
        <f>#REF!/1000</f>
        <v>#REF!</v>
      </c>
      <c r="W132" s="315" t="e">
        <f>#REF!/1000</f>
        <v>#REF!</v>
      </c>
      <c r="X132" s="315" t="e">
        <f>#REF!/1000</f>
        <v>#REF!</v>
      </c>
      <c r="Y132" s="315" t="e">
        <f>#REF!/1000</f>
        <v>#REF!</v>
      </c>
    </row>
    <row r="133" spans="15:25" x14ac:dyDescent="0.2">
      <c r="O133" s="369" t="s">
        <v>1578</v>
      </c>
      <c r="P133" s="370"/>
      <c r="Q133" s="370"/>
      <c r="R133" s="369" t="s">
        <v>1579</v>
      </c>
      <c r="S133" s="370"/>
      <c r="T133" s="370"/>
      <c r="U133" s="370"/>
      <c r="V133" s="315">
        <f>V123/1000</f>
        <v>0</v>
      </c>
      <c r="W133" s="315">
        <f>W123/1000</f>
        <v>0</v>
      </c>
      <c r="X133" s="315">
        <f>X123/1000</f>
        <v>0</v>
      </c>
      <c r="Y133" s="315">
        <f>Y123/1000</f>
        <v>-0.73462000000000005</v>
      </c>
    </row>
    <row r="150" spans="2:16" ht="13.5" thickBot="1" x14ac:dyDescent="0.25"/>
    <row r="151" spans="2:16" ht="15.75" thickBot="1" x14ac:dyDescent="0.3">
      <c r="B151" s="288"/>
      <c r="C151" s="222" t="s">
        <v>2086</v>
      </c>
      <c r="D151" s="273" t="s">
        <v>2087</v>
      </c>
    </row>
    <row r="152" spans="2:16" ht="15" x14ac:dyDescent="0.25">
      <c r="B152" s="288"/>
      <c r="C152" s="194" t="s">
        <v>2088</v>
      </c>
      <c r="D152" s="287">
        <v>-78716</v>
      </c>
    </row>
    <row r="153" spans="2:16" ht="26.25" x14ac:dyDescent="0.25">
      <c r="B153" s="288"/>
      <c r="C153" s="194" t="s">
        <v>2089</v>
      </c>
      <c r="D153" s="205">
        <v>-931</v>
      </c>
      <c r="H153" s="331"/>
      <c r="I153" s="331"/>
      <c r="J153" s="331"/>
      <c r="K153" s="331"/>
      <c r="L153" s="331"/>
      <c r="M153" s="331"/>
      <c r="N153" s="331"/>
      <c r="O153" s="331"/>
      <c r="P153" s="331"/>
    </row>
    <row r="154" spans="2:16" ht="26.25" x14ac:dyDescent="0.25">
      <c r="B154" s="288"/>
      <c r="C154" s="194" t="s">
        <v>2091</v>
      </c>
      <c r="D154" s="287">
        <v>-3517</v>
      </c>
      <c r="H154" s="331"/>
      <c r="I154" s="191" t="s">
        <v>2102</v>
      </c>
      <c r="J154" s="233"/>
      <c r="K154" s="331"/>
      <c r="L154" s="331"/>
      <c r="M154" s="192">
        <v>44104</v>
      </c>
      <c r="N154" s="191"/>
      <c r="O154" s="192">
        <v>43830</v>
      </c>
      <c r="P154" s="331"/>
    </row>
    <row r="155" spans="2:16" ht="26.25" x14ac:dyDescent="0.25">
      <c r="B155" s="288"/>
      <c r="C155" s="194" t="s">
        <v>2090</v>
      </c>
      <c r="D155" s="287">
        <v>-1797</v>
      </c>
      <c r="H155" s="331"/>
      <c r="I155" s="331" t="s">
        <v>2103</v>
      </c>
      <c r="J155" s="331"/>
      <c r="K155" s="331"/>
      <c r="L155" s="331"/>
      <c r="M155" s="32">
        <v>73</v>
      </c>
      <c r="N155" s="331"/>
      <c r="O155" s="32">
        <v>73</v>
      </c>
      <c r="P155" s="331"/>
    </row>
    <row r="156" spans="2:16" s="285" customFormat="1" ht="15.75" thickBot="1" x14ac:dyDescent="0.3">
      <c r="B156" s="288"/>
      <c r="C156" s="240" t="s">
        <v>2097</v>
      </c>
      <c r="D156" s="332">
        <v>1179</v>
      </c>
      <c r="H156" s="331"/>
      <c r="I156" s="331" t="s">
        <v>2104</v>
      </c>
      <c r="J156" s="331"/>
      <c r="K156" s="331"/>
      <c r="L156" s="331"/>
      <c r="M156" s="32">
        <v>0</v>
      </c>
      <c r="N156" s="331"/>
      <c r="O156" s="32">
        <v>5</v>
      </c>
      <c r="P156" s="331"/>
    </row>
    <row r="157" spans="2:16" ht="15.75" thickBot="1" x14ac:dyDescent="0.3">
      <c r="B157" s="288"/>
      <c r="C157" s="234" t="s">
        <v>1912</v>
      </c>
      <c r="D157" s="230">
        <f>SUM(D152:D156)</f>
        <v>-83782</v>
      </c>
      <c r="H157" s="331"/>
      <c r="I157" s="331"/>
      <c r="J157" s="331"/>
      <c r="K157" s="331"/>
      <c r="L157" s="331"/>
      <c r="M157" s="32">
        <v>0</v>
      </c>
      <c r="N157" s="331"/>
      <c r="O157" s="32">
        <v>142</v>
      </c>
      <c r="P157" s="331"/>
    </row>
    <row r="158" spans="2:16" ht="13.5" thickBot="1" x14ac:dyDescent="0.25">
      <c r="B158" s="319"/>
      <c r="H158" s="331"/>
      <c r="I158" s="218"/>
      <c r="J158" s="218"/>
      <c r="K158" s="218"/>
      <c r="L158" s="218"/>
      <c r="M158" s="218">
        <v>22</v>
      </c>
      <c r="N158" s="218"/>
      <c r="O158" s="220">
        <v>33</v>
      </c>
      <c r="P158" s="331"/>
    </row>
    <row r="159" spans="2:16" ht="13.5" thickBot="1" x14ac:dyDescent="0.25">
      <c r="H159" s="331"/>
      <c r="I159" s="219" t="s">
        <v>1669</v>
      </c>
      <c r="J159" s="219"/>
      <c r="K159" s="219"/>
      <c r="L159" s="219"/>
      <c r="M159" s="221">
        <v>2855</v>
      </c>
      <c r="N159" s="219"/>
      <c r="O159" s="221">
        <v>2715</v>
      </c>
      <c r="P159" s="331"/>
    </row>
    <row r="160" spans="2:16" x14ac:dyDescent="0.2">
      <c r="H160" s="331"/>
      <c r="I160" s="331"/>
      <c r="J160" s="331"/>
      <c r="K160" s="331"/>
      <c r="L160" s="331"/>
      <c r="M160" s="331"/>
      <c r="N160" s="331"/>
      <c r="O160" s="331"/>
      <c r="P160" s="331"/>
    </row>
    <row r="161" spans="3:11" x14ac:dyDescent="0.2">
      <c r="C161" s="331"/>
      <c r="D161" s="331"/>
      <c r="E161" s="331"/>
      <c r="F161" s="331"/>
      <c r="G161" s="331"/>
      <c r="H161" s="331"/>
      <c r="I161" s="331"/>
      <c r="J161" s="331"/>
      <c r="K161" s="331"/>
    </row>
    <row r="162" spans="3:11" x14ac:dyDescent="0.2">
      <c r="C162" s="331"/>
      <c r="D162" s="191" t="s">
        <v>2102</v>
      </c>
      <c r="E162" s="233"/>
      <c r="F162" s="331"/>
      <c r="G162" s="331"/>
      <c r="H162" s="192">
        <v>44104</v>
      </c>
      <c r="I162" s="191"/>
      <c r="J162" s="192">
        <v>43830</v>
      </c>
      <c r="K162" s="331"/>
    </row>
    <row r="163" spans="3:11" x14ac:dyDescent="0.2">
      <c r="C163" s="331"/>
      <c r="D163" s="331" t="s">
        <v>2103</v>
      </c>
      <c r="E163" s="331"/>
      <c r="F163" s="331"/>
      <c r="G163" s="331"/>
      <c r="H163" s="32">
        <v>73</v>
      </c>
      <c r="I163" s="331"/>
      <c r="J163" s="32">
        <v>73</v>
      </c>
      <c r="K163" s="331"/>
    </row>
    <row r="164" spans="3:11" x14ac:dyDescent="0.2">
      <c r="C164" s="331"/>
      <c r="D164" s="331" t="s">
        <v>2104</v>
      </c>
      <c r="E164" s="331"/>
      <c r="F164" s="331"/>
      <c r="G164" s="331"/>
      <c r="H164" s="32">
        <v>0</v>
      </c>
      <c r="I164" s="331"/>
      <c r="J164" s="32">
        <v>5</v>
      </c>
      <c r="K164" s="331"/>
    </row>
    <row r="165" spans="3:11" x14ac:dyDescent="0.2">
      <c r="C165" s="331"/>
      <c r="D165" s="331"/>
      <c r="E165" s="331"/>
      <c r="F165" s="331"/>
      <c r="G165" s="331"/>
      <c r="H165" s="32">
        <v>0</v>
      </c>
      <c r="I165" s="331"/>
      <c r="J165" s="32">
        <v>142</v>
      </c>
      <c r="K165" s="331"/>
    </row>
    <row r="166" spans="3:11" ht="13.5" thickBot="1" x14ac:dyDescent="0.25">
      <c r="C166" s="331"/>
      <c r="D166" s="218"/>
      <c r="E166" s="218"/>
      <c r="F166" s="218"/>
      <c r="G166" s="218"/>
      <c r="H166" s="218">
        <v>22</v>
      </c>
      <c r="I166" s="218"/>
      <c r="J166" s="220">
        <v>33</v>
      </c>
      <c r="K166" s="331"/>
    </row>
    <row r="167" spans="3:11" ht="13.5" thickBot="1" x14ac:dyDescent="0.25">
      <c r="C167" s="331"/>
      <c r="D167" s="219" t="s">
        <v>1669</v>
      </c>
      <c r="E167" s="219"/>
      <c r="F167" s="219"/>
      <c r="G167" s="219"/>
      <c r="H167" s="221">
        <v>2855</v>
      </c>
      <c r="I167" s="219"/>
      <c r="J167" s="221">
        <v>2715</v>
      </c>
      <c r="K167" s="331"/>
    </row>
    <row r="168" spans="3:11" x14ac:dyDescent="0.2">
      <c r="C168" s="331"/>
      <c r="D168" s="331"/>
      <c r="E168" s="331"/>
      <c r="F168" s="331"/>
      <c r="G168" s="331"/>
      <c r="H168" s="331"/>
      <c r="I168" s="331"/>
      <c r="J168" s="331"/>
      <c r="K168" s="331"/>
    </row>
  </sheetData>
  <mergeCells count="48">
    <mergeCell ref="O133:Q133"/>
    <mergeCell ref="R133:U133"/>
    <mergeCell ref="O131:Q131"/>
    <mergeCell ref="R131:U131"/>
    <mergeCell ref="O132:Q132"/>
    <mergeCell ref="R132:U132"/>
    <mergeCell ref="O129:Q129"/>
    <mergeCell ref="R129:U129"/>
    <mergeCell ref="O130:Q130"/>
    <mergeCell ref="R130:U130"/>
    <mergeCell ref="O123:Q123"/>
    <mergeCell ref="R123:U123"/>
    <mergeCell ref="O127:Q127"/>
    <mergeCell ref="R127:U127"/>
    <mergeCell ref="O128:Q128"/>
    <mergeCell ref="R128:U128"/>
    <mergeCell ref="O122:Q122"/>
    <mergeCell ref="R122:U122"/>
    <mergeCell ref="O119:Q119"/>
    <mergeCell ref="R119:U119"/>
    <mergeCell ref="O120:Q120"/>
    <mergeCell ref="R120:U120"/>
    <mergeCell ref="O121:Q121"/>
    <mergeCell ref="R121:U121"/>
    <mergeCell ref="O114:Q114"/>
    <mergeCell ref="R114:U114"/>
    <mergeCell ref="O116:Q116"/>
    <mergeCell ref="R116:U116"/>
    <mergeCell ref="O118:Q118"/>
    <mergeCell ref="R118:U118"/>
    <mergeCell ref="E40:F40"/>
    <mergeCell ref="E30:F30"/>
    <mergeCell ref="E31:F31"/>
    <mergeCell ref="E32:F32"/>
    <mergeCell ref="B33:E33"/>
    <mergeCell ref="B34:E34"/>
    <mergeCell ref="F33:G34"/>
    <mergeCell ref="E35:F35"/>
    <mergeCell ref="E36:F36"/>
    <mergeCell ref="E37:F37"/>
    <mergeCell ref="E38:F38"/>
    <mergeCell ref="E39:F39"/>
    <mergeCell ref="E29:F29"/>
    <mergeCell ref="B11:B12"/>
    <mergeCell ref="C11:C12"/>
    <mergeCell ref="D11:D12"/>
    <mergeCell ref="E11:E12"/>
    <mergeCell ref="E28:F2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"/>
  <sheetViews>
    <sheetView showGridLines="0" topLeftCell="A124" workbookViewId="0">
      <selection activeCell="H338" sqref="H338"/>
    </sheetView>
  </sheetViews>
  <sheetFormatPr defaultRowHeight="12.75" x14ac:dyDescent="0.2"/>
  <cols>
    <col min="1" max="1" width="4" style="266" customWidth="1"/>
    <col min="2" max="2" width="31.140625" customWidth="1"/>
    <col min="3" max="3" width="2.7109375" customWidth="1"/>
    <col min="4" max="4" width="10.7109375" customWidth="1"/>
    <col min="5" max="5" width="10.7109375" style="266" customWidth="1"/>
    <col min="6" max="6" width="10.7109375" bestFit="1" customWidth="1"/>
    <col min="7" max="7" width="2.7109375" style="266" customWidth="1"/>
    <col min="8" max="9" width="10.7109375" style="266" customWidth="1"/>
    <col min="10" max="10" width="10.7109375" bestFit="1" customWidth="1"/>
    <col min="11" max="11" width="10" bestFit="1" customWidth="1"/>
    <col min="23" max="24" width="11.7109375" bestFit="1" customWidth="1"/>
    <col min="25" max="25" width="37.5703125" bestFit="1" customWidth="1"/>
    <col min="26" max="26" width="11.7109375" bestFit="1" customWidth="1"/>
    <col min="27" max="28" width="12" bestFit="1" customWidth="1"/>
    <col min="29" max="29" width="13.140625" customWidth="1"/>
  </cols>
  <sheetData>
    <row r="1" spans="2:10" ht="13.5" thickBot="1" x14ac:dyDescent="0.25">
      <c r="B1" s="266"/>
      <c r="C1" s="266"/>
      <c r="D1" s="266"/>
      <c r="F1" s="266"/>
      <c r="J1" s="266"/>
    </row>
    <row r="2" spans="2:10" ht="33.75" customHeight="1" thickBot="1" x14ac:dyDescent="0.25">
      <c r="B2" s="272" t="s">
        <v>1123</v>
      </c>
      <c r="C2" s="266"/>
      <c r="D2" s="273" t="s">
        <v>2018</v>
      </c>
      <c r="E2" s="273" t="s">
        <v>2019</v>
      </c>
      <c r="F2" s="267" t="s">
        <v>2020</v>
      </c>
      <c r="H2" s="273" t="s">
        <v>2021</v>
      </c>
      <c r="I2" s="273" t="s">
        <v>2022</v>
      </c>
      <c r="J2" s="267" t="s">
        <v>2020</v>
      </c>
    </row>
    <row r="3" spans="2:10" s="266" customFormat="1" ht="24.75" customHeight="1" x14ac:dyDescent="0.2">
      <c r="B3" s="281" t="s">
        <v>2030</v>
      </c>
      <c r="D3" s="277">
        <v>5585.5461100000002</v>
      </c>
      <c r="E3" s="277">
        <v>4216.5631700000004</v>
      </c>
      <c r="F3" s="275">
        <f>(D3-E3)/E3</f>
        <v>0.32466795463661929</v>
      </c>
      <c r="H3" s="277">
        <v>15525.499039999999</v>
      </c>
      <c r="I3" s="277">
        <v>12546.8905</v>
      </c>
      <c r="J3" s="275">
        <f>(H3-I3)/I3</f>
        <v>0.23739814577962559</v>
      </c>
    </row>
    <row r="4" spans="2:10" s="266" customFormat="1" ht="12.75" customHeight="1" x14ac:dyDescent="0.2">
      <c r="B4" s="276" t="s">
        <v>2024</v>
      </c>
      <c r="D4" s="277">
        <v>774.21271999999999</v>
      </c>
      <c r="E4" s="277">
        <v>753.24162999999999</v>
      </c>
      <c r="F4" s="275">
        <f t="shared" ref="F4:F9" si="0">(D4-E4)/E4</f>
        <v>2.7841119190398445E-2</v>
      </c>
      <c r="H4" s="277">
        <v>2385.7507700000001</v>
      </c>
      <c r="I4" s="277">
        <v>2180.19245</v>
      </c>
      <c r="J4" s="275">
        <f t="shared" ref="J4:J9" si="1">(H4-I4)/I4</f>
        <v>9.4284483922508808E-2</v>
      </c>
    </row>
    <row r="5" spans="2:10" s="266" customFormat="1" ht="12.75" customHeight="1" x14ac:dyDescent="0.2">
      <c r="B5" s="276" t="s">
        <v>2025</v>
      </c>
      <c r="D5" s="277">
        <v>7365.5476200000003</v>
      </c>
      <c r="E5" s="277">
        <v>5897.9600399999999</v>
      </c>
      <c r="F5" s="275">
        <f t="shared" si="0"/>
        <v>0.24882969196922541</v>
      </c>
      <c r="H5" s="277">
        <v>20310.231460000003</v>
      </c>
      <c r="I5" s="277">
        <v>17324.689329999997</v>
      </c>
      <c r="J5" s="275">
        <f t="shared" si="1"/>
        <v>0.17232875424958663</v>
      </c>
    </row>
    <row r="6" spans="2:10" s="266" customFormat="1" ht="12.75" customHeight="1" x14ac:dyDescent="0.2">
      <c r="B6" s="276" t="s">
        <v>2026</v>
      </c>
      <c r="D6" s="277">
        <v>192.4751</v>
      </c>
      <c r="E6" s="277">
        <v>209.88656</v>
      </c>
      <c r="F6" s="275">
        <f t="shared" si="0"/>
        <v>-8.2956526611327588E-2</v>
      </c>
      <c r="H6" s="277">
        <v>1196.4150900000002</v>
      </c>
      <c r="I6" s="277">
        <v>1068.7221100000002</v>
      </c>
      <c r="J6" s="275">
        <f t="shared" si="1"/>
        <v>0.11948192968516391</v>
      </c>
    </row>
    <row r="7" spans="2:10" s="266" customFormat="1" ht="12.75" customHeight="1" x14ac:dyDescent="0.2">
      <c r="B7" s="276" t="s">
        <v>2027</v>
      </c>
      <c r="D7" s="277">
        <v>1510.5630700000002</v>
      </c>
      <c r="E7" s="277">
        <v>1834.33725</v>
      </c>
      <c r="F7" s="275">
        <f t="shared" si="0"/>
        <v>-0.17650744430992713</v>
      </c>
      <c r="H7" s="277">
        <v>5756.6220400000002</v>
      </c>
      <c r="I7" s="277">
        <v>6985.2708600000005</v>
      </c>
      <c r="J7" s="275">
        <f t="shared" si="1"/>
        <v>-0.17589136407517922</v>
      </c>
    </row>
    <row r="8" spans="2:10" ht="12.75" customHeight="1" x14ac:dyDescent="0.2">
      <c r="B8" s="276" t="s">
        <v>2028</v>
      </c>
      <c r="C8" s="266"/>
      <c r="D8" s="277">
        <v>-463.15197999999998</v>
      </c>
      <c r="E8" s="277">
        <v>-290.70119</v>
      </c>
      <c r="F8" s="275">
        <f t="shared" si="0"/>
        <v>0.59322354339175554</v>
      </c>
      <c r="H8" s="277">
        <v>-1441.6813</v>
      </c>
      <c r="I8" s="277">
        <v>-1524.3127199999999</v>
      </c>
      <c r="J8" s="275">
        <f t="shared" si="1"/>
        <v>-5.4208968353947701E-2</v>
      </c>
    </row>
    <row r="9" spans="2:10" ht="12.75" customHeight="1" thickBot="1" x14ac:dyDescent="0.25">
      <c r="B9" s="276" t="s">
        <v>2029</v>
      </c>
      <c r="C9" s="266"/>
      <c r="D9" s="277">
        <v>-1805.7626600000001</v>
      </c>
      <c r="E9" s="277">
        <v>-1874.67202</v>
      </c>
      <c r="F9" s="275">
        <f t="shared" si="0"/>
        <v>-3.6758088489526761E-2</v>
      </c>
      <c r="H9" s="277">
        <v>-5097.4141099999997</v>
      </c>
      <c r="I9" s="277">
        <v>-5796.4675699999998</v>
      </c>
      <c r="J9" s="275">
        <f t="shared" si="1"/>
        <v>-0.12059990874752709</v>
      </c>
    </row>
    <row r="10" spans="2:10" ht="13.5" thickBot="1" x14ac:dyDescent="0.25">
      <c r="B10" s="278" t="s">
        <v>1912</v>
      </c>
      <c r="C10" s="266"/>
      <c r="D10" s="279">
        <f>SUM(D3:D9)</f>
        <v>13159.429979999999</v>
      </c>
      <c r="E10" s="279">
        <f>SUM(E3:E9)</f>
        <v>10746.615440000001</v>
      </c>
      <c r="F10" s="280">
        <f>(D10-E10)/E10</f>
        <v>0.22451855223359488</v>
      </c>
      <c r="H10" s="279">
        <f>SUM(H3:H9)</f>
        <v>38635.422990000014</v>
      </c>
      <c r="I10" s="279">
        <f>SUM(I3:I9)</f>
        <v>32784.984959999994</v>
      </c>
      <c r="J10" s="280">
        <f>(H10-I10)/I10</f>
        <v>0.17844870257338744</v>
      </c>
    </row>
    <row r="11" spans="2:10" x14ac:dyDescent="0.2">
      <c r="B11" s="266"/>
      <c r="C11" s="266"/>
      <c r="D11" s="266"/>
      <c r="F11" s="266"/>
      <c r="J11" s="266"/>
    </row>
    <row r="20" spans="2:17" ht="13.5" thickBot="1" x14ac:dyDescent="0.25">
      <c r="B20" s="266"/>
      <c r="C20" s="266"/>
      <c r="D20" s="266"/>
      <c r="F20" s="266"/>
      <c r="J20" s="266"/>
      <c r="K20" s="266"/>
      <c r="Q20">
        <v>5603.65</v>
      </c>
    </row>
    <row r="21" spans="2:17" ht="26.25" thickBot="1" x14ac:dyDescent="0.25">
      <c r="B21" s="272" t="s">
        <v>2031</v>
      </c>
      <c r="C21" s="266"/>
      <c r="D21" s="273" t="s">
        <v>2018</v>
      </c>
      <c r="E21" s="273" t="s">
        <v>2019</v>
      </c>
      <c r="F21" s="267" t="s">
        <v>2020</v>
      </c>
      <c r="H21" s="273" t="s">
        <v>2021</v>
      </c>
      <c r="I21" s="273" t="s">
        <v>2022</v>
      </c>
      <c r="J21" s="267" t="s">
        <v>2020</v>
      </c>
      <c r="K21" s="266"/>
      <c r="Q21">
        <v>-4660.3900000000003</v>
      </c>
    </row>
    <row r="22" spans="2:17" ht="25.5" x14ac:dyDescent="0.2">
      <c r="B22" s="281" t="s">
        <v>2032</v>
      </c>
      <c r="C22" s="266"/>
      <c r="D22" s="32">
        <v>4071.4884999999999</v>
      </c>
      <c r="E22" s="32">
        <v>3485.6095599999999</v>
      </c>
      <c r="F22" s="275">
        <f t="shared" ref="F22:F27" si="2">(D22-E22)/E22</f>
        <v>0.16808507376253584</v>
      </c>
      <c r="H22" s="32">
        <v>11665.7983</v>
      </c>
      <c r="I22" s="32">
        <v>10869.912319999999</v>
      </c>
      <c r="J22" s="275">
        <f>(H22-I22)/I22</f>
        <v>7.3219172019963544E-2</v>
      </c>
      <c r="K22" s="266"/>
      <c r="Q22">
        <f>SUM(Q20:Q21)</f>
        <v>943.25999999999931</v>
      </c>
    </row>
    <row r="23" spans="2:17" x14ac:dyDescent="0.2">
      <c r="B23" s="276" t="s">
        <v>2033</v>
      </c>
      <c r="C23" s="266"/>
      <c r="D23" s="32">
        <v>95.874920000000003</v>
      </c>
      <c r="E23" s="32">
        <v>117.94958</v>
      </c>
      <c r="F23" s="275">
        <f t="shared" si="2"/>
        <v>-0.18715335824002083</v>
      </c>
      <c r="H23" s="32">
        <v>320.21228000000002</v>
      </c>
      <c r="I23" s="32">
        <v>329.06686999999999</v>
      </c>
      <c r="J23" s="275">
        <f t="shared" ref="J23:J26" si="3">(H23-I23)/I23</f>
        <v>-2.6908178267839523E-2</v>
      </c>
      <c r="K23" s="266"/>
    </row>
    <row r="24" spans="2:17" x14ac:dyDescent="0.2">
      <c r="B24" s="276" t="s">
        <v>2034</v>
      </c>
      <c r="C24" s="266"/>
      <c r="D24" s="32">
        <v>1270.0172399999999</v>
      </c>
      <c r="E24" s="32">
        <v>1821.0752299999999</v>
      </c>
      <c r="F24" s="275">
        <f t="shared" si="2"/>
        <v>-0.3026003434245822</v>
      </c>
      <c r="H24" s="32">
        <v>3485.1157400000002</v>
      </c>
      <c r="I24" s="32">
        <v>6589.5398700000005</v>
      </c>
      <c r="J24" s="275">
        <f t="shared" si="3"/>
        <v>-0.47111394592715322</v>
      </c>
      <c r="K24" s="266"/>
    </row>
    <row r="25" spans="2:17" x14ac:dyDescent="0.2">
      <c r="B25" s="276" t="s">
        <v>2035</v>
      </c>
      <c r="C25" s="266"/>
      <c r="D25" s="32">
        <v>33.004359999999998</v>
      </c>
      <c r="E25" s="32">
        <v>47.838610000000003</v>
      </c>
      <c r="F25" s="275">
        <f t="shared" si="2"/>
        <v>-0.31008948629569305</v>
      </c>
      <c r="H25" s="32">
        <v>126.78133</v>
      </c>
      <c r="I25" s="32">
        <v>167.05769000000001</v>
      </c>
      <c r="J25" s="275">
        <f t="shared" si="3"/>
        <v>-0.24109252318764859</v>
      </c>
      <c r="K25" s="266"/>
    </row>
    <row r="26" spans="2:17" ht="13.5" thickBot="1" x14ac:dyDescent="0.25">
      <c r="B26" s="276" t="s">
        <v>2036</v>
      </c>
      <c r="C26" s="266"/>
      <c r="D26" s="32">
        <v>1528.65292</v>
      </c>
      <c r="E26" s="32">
        <v>1556.7696100000001</v>
      </c>
      <c r="F26" s="275">
        <f t="shared" si="2"/>
        <v>-1.8060919110567723E-2</v>
      </c>
      <c r="H26" s="32">
        <v>4133.9449199999999</v>
      </c>
      <c r="I26" s="32">
        <v>4138.6013599999997</v>
      </c>
      <c r="J26" s="275">
        <f t="shared" si="3"/>
        <v>-1.1251240684847568E-3</v>
      </c>
      <c r="K26" s="266"/>
    </row>
    <row r="27" spans="2:17" ht="13.5" thickBot="1" x14ac:dyDescent="0.25">
      <c r="B27" s="278" t="s">
        <v>1912</v>
      </c>
      <c r="C27" s="266"/>
      <c r="D27" s="279">
        <f>SUM(D22:D26)</f>
        <v>6999.0379400000002</v>
      </c>
      <c r="E27" s="279">
        <f>SUM(E22:E26)</f>
        <v>7029.2425899999998</v>
      </c>
      <c r="F27" s="280">
        <f t="shared" si="2"/>
        <v>-4.2969992304675428E-3</v>
      </c>
      <c r="H27" s="279">
        <f>SUM(H22:H26)</f>
        <v>19731.852569999999</v>
      </c>
      <c r="I27" s="279">
        <f>SUM(I22:I26)</f>
        <v>22094.178110000001</v>
      </c>
      <c r="J27" s="280">
        <f>(H27-I27)/I27</f>
        <v>-0.10692072491851572</v>
      </c>
      <c r="K27" s="266"/>
    </row>
    <row r="28" spans="2:17" x14ac:dyDescent="0.2">
      <c r="B28" s="266"/>
      <c r="C28" s="266"/>
      <c r="D28" s="266"/>
      <c r="F28" s="266"/>
      <c r="J28" s="266"/>
      <c r="K28" s="266"/>
    </row>
    <row r="35" spans="2:18" x14ac:dyDescent="0.2">
      <c r="D35" s="32"/>
      <c r="E35" s="32"/>
      <c r="F35" s="32"/>
      <c r="G35" s="32"/>
      <c r="H35" s="32"/>
      <c r="I35" s="32"/>
    </row>
    <row r="36" spans="2:18" ht="15" x14ac:dyDescent="0.25">
      <c r="D36" s="32"/>
      <c r="E36" s="32"/>
      <c r="F36" s="32"/>
      <c r="G36" s="32"/>
      <c r="H36" s="32"/>
      <c r="I36" s="32"/>
      <c r="J36" s="58"/>
      <c r="K36" s="58"/>
      <c r="L36" s="136"/>
      <c r="M36" s="58"/>
      <c r="N36" s="58"/>
      <c r="O36" s="58"/>
      <c r="P36" s="136"/>
      <c r="Q36" s="56"/>
      <c r="R36" s="136"/>
    </row>
    <row r="37" spans="2:18" x14ac:dyDescent="0.2">
      <c r="D37" s="32"/>
      <c r="E37" s="32"/>
      <c r="F37" s="32"/>
      <c r="G37" s="32"/>
      <c r="H37" s="32"/>
      <c r="I37" s="32"/>
    </row>
    <row r="38" spans="2:18" ht="13.5" thickBot="1" x14ac:dyDescent="0.25">
      <c r="B38" s="266"/>
      <c r="C38" s="266"/>
      <c r="D38" s="266"/>
      <c r="F38" s="266"/>
      <c r="J38" s="266"/>
      <c r="K38" s="266"/>
    </row>
    <row r="39" spans="2:18" ht="26.25" thickBot="1" x14ac:dyDescent="0.25">
      <c r="B39" s="272" t="s">
        <v>2031</v>
      </c>
      <c r="C39" s="266"/>
      <c r="D39" s="273" t="s">
        <v>2018</v>
      </c>
      <c r="E39" s="273" t="s">
        <v>2019</v>
      </c>
      <c r="F39" s="267" t="s">
        <v>2020</v>
      </c>
      <c r="H39" s="273" t="s">
        <v>2021</v>
      </c>
      <c r="I39" s="273" t="s">
        <v>2022</v>
      </c>
      <c r="J39" s="267" t="s">
        <v>2020</v>
      </c>
      <c r="K39" s="266"/>
    </row>
    <row r="40" spans="2:18" ht="25.5" x14ac:dyDescent="0.2">
      <c r="B40" s="281" t="s">
        <v>2032</v>
      </c>
      <c r="C40" s="266"/>
      <c r="D40" s="32">
        <f>4071.4885</f>
        <v>4071.4884999999999</v>
      </c>
      <c r="E40" s="32">
        <v>3485.6095599999999</v>
      </c>
      <c r="F40" s="275">
        <f>(D40-E40)/E40</f>
        <v>0.16808507376253584</v>
      </c>
      <c r="H40" s="32">
        <f>11665.7983-108.59987</f>
        <v>11557.19843</v>
      </c>
      <c r="I40" s="32">
        <v>10869.912319999999</v>
      </c>
      <c r="J40" s="275">
        <f>(H40-I40)/I40</f>
        <v>6.3228303022779209E-2</v>
      </c>
      <c r="K40" s="266"/>
    </row>
    <row r="41" spans="2:18" x14ac:dyDescent="0.2">
      <c r="B41" s="276" t="s">
        <v>2033</v>
      </c>
      <c r="C41" s="266"/>
      <c r="D41" s="32">
        <v>95.874920000000003</v>
      </c>
      <c r="E41" s="32">
        <v>117.94958</v>
      </c>
      <c r="F41" s="275">
        <f t="shared" ref="F41:F45" si="4">(D41-E41)/E41</f>
        <v>-0.18715335824002083</v>
      </c>
      <c r="H41" s="32">
        <v>320.21228000000002</v>
      </c>
      <c r="I41" s="32">
        <v>329.06686999999999</v>
      </c>
      <c r="J41" s="275">
        <f t="shared" ref="J41:J44" si="5">(H41-I41)/I41</f>
        <v>-2.6908178267839523E-2</v>
      </c>
      <c r="K41" s="266"/>
    </row>
    <row r="42" spans="2:18" x14ac:dyDescent="0.2">
      <c r="B42" s="276" t="s">
        <v>2034</v>
      </c>
      <c r="C42" s="266"/>
      <c r="D42" s="32">
        <v>1270.0172399999999</v>
      </c>
      <c r="E42" s="32">
        <v>1821.0752299999999</v>
      </c>
      <c r="F42" s="275">
        <f t="shared" si="4"/>
        <v>-0.3026003434245822</v>
      </c>
      <c r="H42" s="32">
        <v>3485.1157400000002</v>
      </c>
      <c r="I42" s="32">
        <v>6589.5398700000005</v>
      </c>
      <c r="J42" s="275">
        <f t="shared" si="5"/>
        <v>-0.47111394592715322</v>
      </c>
      <c r="K42" s="266"/>
    </row>
    <row r="43" spans="2:18" x14ac:dyDescent="0.2">
      <c r="B43" s="276" t="s">
        <v>2035</v>
      </c>
      <c r="C43" s="266"/>
      <c r="D43" s="32">
        <v>33.004359999999998</v>
      </c>
      <c r="E43" s="32">
        <v>47.838610000000003</v>
      </c>
      <c r="F43" s="275">
        <f t="shared" si="4"/>
        <v>-0.31008948629569305</v>
      </c>
      <c r="H43" s="32">
        <v>126.78133</v>
      </c>
      <c r="I43" s="32">
        <v>167.05769000000001</v>
      </c>
      <c r="J43" s="275">
        <f t="shared" si="5"/>
        <v>-0.24109252318764859</v>
      </c>
      <c r="K43" s="266"/>
    </row>
    <row r="44" spans="2:18" ht="13.5" thickBot="1" x14ac:dyDescent="0.25">
      <c r="B44" s="276" t="s">
        <v>2036</v>
      </c>
      <c r="C44" s="266"/>
      <c r="D44" s="32">
        <v>1528.65292</v>
      </c>
      <c r="E44" s="32">
        <v>1556.7696100000001</v>
      </c>
      <c r="F44" s="275">
        <f t="shared" si="4"/>
        <v>-1.8060919110567723E-2</v>
      </c>
      <c r="H44" s="32">
        <v>4133.9449199999999</v>
      </c>
      <c r="I44" s="32">
        <v>4138.6013599999997</v>
      </c>
      <c r="J44" s="275">
        <f t="shared" si="5"/>
        <v>-1.1251240684847568E-3</v>
      </c>
      <c r="K44" s="266"/>
    </row>
    <row r="45" spans="2:18" ht="13.5" thickBot="1" x14ac:dyDescent="0.25">
      <c r="B45" s="278" t="s">
        <v>1912</v>
      </c>
      <c r="C45" s="266"/>
      <c r="D45" s="279">
        <f>SUM(D40:D44)</f>
        <v>6999.0379400000002</v>
      </c>
      <c r="E45" s="279">
        <f>SUM(E40:E44)</f>
        <v>7029.2425899999998</v>
      </c>
      <c r="F45" s="280">
        <f t="shared" si="4"/>
        <v>-4.2969992304675428E-3</v>
      </c>
      <c r="H45" s="279">
        <f>SUM(H40:H44)</f>
        <v>19623.252700000001</v>
      </c>
      <c r="I45" s="279">
        <f>SUM(I40:I44)</f>
        <v>22094.178110000001</v>
      </c>
      <c r="J45" s="280">
        <f>(H45-I45)/I45</f>
        <v>-0.11183604104656146</v>
      </c>
      <c r="K45" s="266"/>
    </row>
    <row r="46" spans="2:18" x14ac:dyDescent="0.2">
      <c r="B46" s="266"/>
      <c r="C46" s="266"/>
      <c r="D46" s="266"/>
      <c r="F46" s="266"/>
      <c r="J46" s="266"/>
      <c r="K46" s="266"/>
    </row>
    <row r="47" spans="2:18" x14ac:dyDescent="0.2">
      <c r="B47" s="266"/>
      <c r="C47" s="266"/>
      <c r="D47" s="266"/>
      <c r="F47" s="266"/>
      <c r="J47" s="266"/>
      <c r="K47" s="266"/>
    </row>
    <row r="51" spans="2:25" ht="13.5" thickBot="1" x14ac:dyDescent="0.25"/>
    <row r="52" spans="2:25" ht="26.25" thickBot="1" x14ac:dyDescent="0.25">
      <c r="B52" s="272" t="s">
        <v>1137</v>
      </c>
      <c r="C52" s="266"/>
      <c r="D52" s="273" t="s">
        <v>2018</v>
      </c>
      <c r="E52" s="273" t="s">
        <v>2019</v>
      </c>
      <c r="F52" s="267" t="s">
        <v>2020</v>
      </c>
      <c r="H52" s="273" t="s">
        <v>2021</v>
      </c>
      <c r="I52" s="273" t="s">
        <v>2022</v>
      </c>
      <c r="J52" s="267" t="s">
        <v>2020</v>
      </c>
    </row>
    <row r="53" spans="2:25" ht="25.5" x14ac:dyDescent="0.2">
      <c r="B53" s="281" t="s">
        <v>2037</v>
      </c>
      <c r="C53" s="266"/>
      <c r="D53" s="32">
        <v>1961.42731</v>
      </c>
      <c r="E53" s="32">
        <v>1640.31467</v>
      </c>
      <c r="F53" s="275">
        <f t="shared" ref="F53:F58" si="6">(D53-E53)/E53</f>
        <v>0.19576282884795518</v>
      </c>
      <c r="H53" s="153">
        <v>5239.3659100000004</v>
      </c>
      <c r="I53" s="153">
        <v>5461.6422000000002</v>
      </c>
      <c r="J53" s="275">
        <f>(H53-I53)/I53</f>
        <v>-4.069770260673608E-2</v>
      </c>
    </row>
    <row r="54" spans="2:25" ht="37.5" customHeight="1" x14ac:dyDescent="0.2">
      <c r="B54" s="194" t="s">
        <v>2038</v>
      </c>
      <c r="C54" s="266"/>
      <c r="D54" s="32">
        <v>1.2833399999999999</v>
      </c>
      <c r="E54" s="32">
        <v>39.109310000000001</v>
      </c>
      <c r="F54" s="275">
        <f t="shared" si="6"/>
        <v>-0.96718581841510365</v>
      </c>
      <c r="H54" s="153">
        <v>55.02711</v>
      </c>
      <c r="I54" s="153">
        <v>107.43955</v>
      </c>
      <c r="J54" s="275">
        <f t="shared" ref="J54:J56" si="7">(H54-I54)/I54</f>
        <v>-0.48783190175312535</v>
      </c>
    </row>
    <row r="55" spans="2:25" ht="25.5" x14ac:dyDescent="0.2">
      <c r="B55" s="194" t="s">
        <v>2039</v>
      </c>
      <c r="C55" s="266"/>
      <c r="D55" s="32">
        <v>0</v>
      </c>
      <c r="E55" s="32">
        <v>38.574309999999997</v>
      </c>
      <c r="F55" s="275">
        <f t="shared" si="6"/>
        <v>-1</v>
      </c>
      <c r="H55" s="153">
        <v>0</v>
      </c>
      <c r="I55" s="153">
        <v>83.59696000000001</v>
      </c>
      <c r="J55" s="275">
        <f t="shared" si="7"/>
        <v>-1</v>
      </c>
      <c r="O55" s="369"/>
      <c r="P55" s="370"/>
      <c r="Q55" s="370"/>
      <c r="R55" s="369"/>
      <c r="S55" s="370"/>
      <c r="T55" s="370"/>
      <c r="U55" s="370"/>
      <c r="V55" s="27"/>
      <c r="W55" s="27"/>
      <c r="X55" s="27"/>
      <c r="Y55" s="27"/>
    </row>
    <row r="56" spans="2:25" x14ac:dyDescent="0.2">
      <c r="B56" s="276" t="s">
        <v>2040</v>
      </c>
      <c r="C56" s="266"/>
      <c r="D56" s="32">
        <v>10.067</v>
      </c>
      <c r="E56" s="32">
        <v>6.9868100000000002</v>
      </c>
      <c r="F56" s="275">
        <f t="shared" si="6"/>
        <v>0.44085784499650055</v>
      </c>
      <c r="H56" s="153">
        <f>20.76507+0.5</f>
        <v>21.265070000000001</v>
      </c>
      <c r="I56" s="153">
        <v>149.90199999999999</v>
      </c>
      <c r="J56" s="275">
        <f t="shared" si="7"/>
        <v>-0.8581401849208149</v>
      </c>
      <c r="O56" s="369"/>
      <c r="P56" s="370"/>
      <c r="Q56" s="370"/>
      <c r="R56" s="369"/>
      <c r="S56" s="370"/>
      <c r="T56" s="370"/>
      <c r="U56" s="370"/>
      <c r="V56" s="27"/>
      <c r="W56" s="27"/>
      <c r="X56" s="27"/>
      <c r="Y56" s="27"/>
    </row>
    <row r="57" spans="2:25" ht="13.5" thickBot="1" x14ac:dyDescent="0.25">
      <c r="B57" s="276" t="s">
        <v>2041</v>
      </c>
      <c r="C57" s="266"/>
      <c r="D57" s="32">
        <v>1825.2224199999998</v>
      </c>
      <c r="E57" s="32">
        <v>0</v>
      </c>
      <c r="F57" s="275">
        <v>1</v>
      </c>
      <c r="H57" s="32">
        <v>1992.77199</v>
      </c>
      <c r="I57" s="32">
        <v>0</v>
      </c>
      <c r="J57" s="275">
        <v>1</v>
      </c>
      <c r="O57" s="369"/>
      <c r="P57" s="370"/>
      <c r="Q57" s="370"/>
      <c r="R57" s="369"/>
      <c r="S57" s="370"/>
      <c r="T57" s="370"/>
      <c r="U57" s="370"/>
      <c r="V57" s="27"/>
      <c r="W57" s="27"/>
      <c r="X57" s="27"/>
      <c r="Y57" s="27"/>
    </row>
    <row r="58" spans="2:25" ht="13.5" thickBot="1" x14ac:dyDescent="0.25">
      <c r="B58" s="278" t="s">
        <v>1912</v>
      </c>
      <c r="C58" s="266"/>
      <c r="D58" s="279">
        <f>SUM(D53:D57)</f>
        <v>3798.0000700000001</v>
      </c>
      <c r="E58" s="279">
        <f>SUM(E53:E57)</f>
        <v>1724.9851000000001</v>
      </c>
      <c r="F58" s="280">
        <f t="shared" si="6"/>
        <v>1.2017581890997204</v>
      </c>
      <c r="H58" s="279">
        <f>SUM(H53:H57)</f>
        <v>7308.430080000001</v>
      </c>
      <c r="I58" s="279">
        <f>SUM(I53:I57)</f>
        <v>5802.5807100000002</v>
      </c>
      <c r="J58" s="280">
        <f>(H58-I58)/I58</f>
        <v>0.25951373108948977</v>
      </c>
      <c r="O58" s="369"/>
      <c r="P58" s="370"/>
      <c r="Q58" s="370"/>
      <c r="R58" s="369"/>
      <c r="S58" s="370"/>
      <c r="T58" s="370"/>
      <c r="U58" s="370"/>
      <c r="V58" s="27"/>
      <c r="W58" s="27"/>
      <c r="X58" s="27"/>
      <c r="Y58" s="27"/>
    </row>
    <row r="59" spans="2:25" x14ac:dyDescent="0.2">
      <c r="O59" s="369"/>
      <c r="P59" s="370"/>
      <c r="Q59" s="370"/>
      <c r="R59" s="369"/>
      <c r="S59" s="370"/>
      <c r="T59" s="370"/>
      <c r="U59" s="370"/>
      <c r="V59" s="27"/>
      <c r="W59" s="27"/>
      <c r="X59" s="27"/>
      <c r="Y59" s="27"/>
    </row>
    <row r="60" spans="2:25" ht="13.5" thickBot="1" x14ac:dyDescent="0.25"/>
    <row r="61" spans="2:25" ht="26.25" thickBot="1" x14ac:dyDescent="0.25">
      <c r="B61" s="272" t="s">
        <v>1410</v>
      </c>
      <c r="C61" s="266"/>
      <c r="D61" s="299" t="s">
        <v>2018</v>
      </c>
      <c r="E61" s="273" t="s">
        <v>2019</v>
      </c>
      <c r="F61" s="267" t="s">
        <v>2020</v>
      </c>
      <c r="H61" s="273" t="s">
        <v>2021</v>
      </c>
      <c r="I61" s="273" t="s">
        <v>2022</v>
      </c>
      <c r="J61" s="267" t="s">
        <v>2020</v>
      </c>
    </row>
    <row r="62" spans="2:25" s="266" customFormat="1" ht="25.5" x14ac:dyDescent="0.2">
      <c r="B62" s="194" t="s">
        <v>2046</v>
      </c>
      <c r="D62" s="32">
        <v>481.45188999999999</v>
      </c>
      <c r="E62" s="32">
        <v>216.73532999999998</v>
      </c>
      <c r="F62" s="275">
        <f t="shared" ref="F62:F64" si="8">(D62-E62)/E62</f>
        <v>1.2213816732140534</v>
      </c>
      <c r="H62" s="153">
        <v>619.93151999999998</v>
      </c>
      <c r="I62" s="153">
        <v>291.17325</v>
      </c>
      <c r="J62" s="275">
        <f>(H62-I62)/I62</f>
        <v>1.1290812943840136</v>
      </c>
    </row>
    <row r="63" spans="2:25" s="266" customFormat="1" x14ac:dyDescent="0.2">
      <c r="B63" s="266" t="s">
        <v>2049</v>
      </c>
      <c r="D63" s="32">
        <v>0</v>
      </c>
      <c r="E63" s="32">
        <v>9.669649999999999</v>
      </c>
      <c r="F63" s="275">
        <f t="shared" si="8"/>
        <v>-1</v>
      </c>
      <c r="H63" s="153">
        <v>0</v>
      </c>
      <c r="I63" s="153">
        <v>9.669649999999999</v>
      </c>
      <c r="J63" s="275">
        <f>(H63-I63)/I63</f>
        <v>-1</v>
      </c>
    </row>
    <row r="64" spans="2:25" s="266" customFormat="1" x14ac:dyDescent="0.2">
      <c r="B64" s="194" t="s">
        <v>2047</v>
      </c>
      <c r="D64" s="32">
        <v>0</v>
      </c>
      <c r="E64" s="32">
        <v>40.555019999999999</v>
      </c>
      <c r="F64" s="275">
        <f t="shared" si="8"/>
        <v>-1</v>
      </c>
      <c r="H64" s="153">
        <v>0</v>
      </c>
      <c r="I64" s="153">
        <v>-22.636009999999999</v>
      </c>
      <c r="J64" s="275">
        <f t="shared" ref="J64" si="9">(H64-I64)/I64</f>
        <v>-1</v>
      </c>
    </row>
    <row r="65" spans="2:26" s="266" customFormat="1" x14ac:dyDescent="0.2">
      <c r="B65" s="266" t="s">
        <v>2050</v>
      </c>
      <c r="D65" s="32">
        <v>755.28303000000005</v>
      </c>
      <c r="E65" s="32">
        <v>0</v>
      </c>
      <c r="F65" s="275">
        <v>1</v>
      </c>
      <c r="H65" s="153">
        <f>2190.35216-1435.06913</f>
        <v>755.28302999999983</v>
      </c>
      <c r="I65" s="153">
        <v>0</v>
      </c>
      <c r="J65" s="275">
        <v>1</v>
      </c>
    </row>
    <row r="66" spans="2:26" ht="13.5" thickBot="1" x14ac:dyDescent="0.25">
      <c r="B66" s="194" t="s">
        <v>2051</v>
      </c>
      <c r="C66" s="266"/>
      <c r="D66" s="271">
        <v>232.59004999999999</v>
      </c>
      <c r="E66" s="271">
        <v>0</v>
      </c>
      <c r="F66" s="275">
        <v>1</v>
      </c>
      <c r="H66" s="153">
        <v>232.59004999999999</v>
      </c>
      <c r="I66" s="153">
        <v>0</v>
      </c>
      <c r="J66" s="275">
        <v>1</v>
      </c>
      <c r="P66" s="369">
        <v>3110301</v>
      </c>
      <c r="Q66" s="370"/>
      <c r="R66" s="370"/>
      <c r="S66" s="369" t="s">
        <v>1138</v>
      </c>
      <c r="T66" s="370"/>
      <c r="U66" s="370"/>
      <c r="V66" s="370"/>
      <c r="W66" s="177">
        <v>1963211.93</v>
      </c>
      <c r="X66" s="177">
        <v>1644442.48</v>
      </c>
      <c r="Y66" s="177">
        <v>5243303.09</v>
      </c>
      <c r="Z66" s="177">
        <v>5501461.0099999998</v>
      </c>
    </row>
    <row r="67" spans="2:26" ht="13.5" thickBot="1" x14ac:dyDescent="0.25">
      <c r="B67" s="278" t="s">
        <v>1912</v>
      </c>
      <c r="C67" s="266"/>
      <c r="D67" s="279">
        <f>SUM(D62:D66)</f>
        <v>1469.3249700000001</v>
      </c>
      <c r="E67" s="279">
        <f>SUM(E62:E66)</f>
        <v>266.95999999999998</v>
      </c>
      <c r="F67" s="280">
        <f>(D67-E67)/E67</f>
        <v>4.5039143317350918</v>
      </c>
      <c r="H67" s="279">
        <f>SUM(H62:H66)</f>
        <v>1607.8045999999997</v>
      </c>
      <c r="I67" s="279">
        <f>SUM(I62:I66)</f>
        <v>278.20688999999999</v>
      </c>
      <c r="J67" s="280">
        <f>(H67-I67)/I67</f>
        <v>4.7791688768024398</v>
      </c>
      <c r="P67" s="369" t="s">
        <v>1623</v>
      </c>
      <c r="Q67" s="370"/>
      <c r="R67" s="370"/>
      <c r="S67" s="369" t="s">
        <v>1547</v>
      </c>
      <c r="T67" s="370"/>
      <c r="U67" s="370"/>
      <c r="V67" s="370"/>
      <c r="W67" s="27">
        <v>0</v>
      </c>
      <c r="X67" s="27">
        <v>0</v>
      </c>
      <c r="Y67" s="27">
        <v>0</v>
      </c>
      <c r="Z67" s="177">
        <v>35691</v>
      </c>
    </row>
    <row r="68" spans="2:26" x14ac:dyDescent="0.2">
      <c r="F68" s="369"/>
      <c r="G68" s="370"/>
      <c r="H68" s="370"/>
      <c r="I68" s="370"/>
      <c r="P68" s="369">
        <v>6210101</v>
      </c>
      <c r="Q68" s="370"/>
      <c r="R68" s="370"/>
      <c r="S68" s="369" t="s">
        <v>1404</v>
      </c>
      <c r="T68" s="370"/>
      <c r="U68" s="370"/>
      <c r="V68" s="370"/>
      <c r="W68" s="177">
        <v>1837072.76</v>
      </c>
      <c r="X68" s="177">
        <v>84670.43</v>
      </c>
      <c r="Y68" s="177">
        <v>2069064.17</v>
      </c>
      <c r="Z68" s="177">
        <v>340938.51</v>
      </c>
    </row>
    <row r="69" spans="2:26" x14ac:dyDescent="0.2">
      <c r="F69" s="369"/>
      <c r="G69" s="370"/>
      <c r="H69" s="370"/>
      <c r="I69" s="370"/>
      <c r="P69" s="369">
        <v>6230101</v>
      </c>
      <c r="Q69" s="370"/>
      <c r="R69" s="370"/>
      <c r="S69" s="369" t="s">
        <v>2052</v>
      </c>
      <c r="T69" s="370"/>
      <c r="U69" s="370"/>
      <c r="V69" s="370"/>
      <c r="W69" s="27">
        <v>0</v>
      </c>
      <c r="X69" s="27">
        <v>0</v>
      </c>
      <c r="Y69" s="27">
        <v>0</v>
      </c>
      <c r="Z69" s="27">
        <v>0</v>
      </c>
    </row>
    <row r="70" spans="2:26" s="266" customFormat="1" x14ac:dyDescent="0.2">
      <c r="D70" s="32">
        <f>D58-D67</f>
        <v>2328.6750999999999</v>
      </c>
      <c r="E70" s="32">
        <f>E58-E67</f>
        <v>1458.0251000000001</v>
      </c>
      <c r="F70" s="265"/>
      <c r="H70" s="32">
        <f>H58-H67</f>
        <v>5700.6254800000015</v>
      </c>
      <c r="I70" s="32">
        <f>I58-I67</f>
        <v>5524.3738199999998</v>
      </c>
      <c r="J70" s="32"/>
      <c r="P70" s="369">
        <v>6240101</v>
      </c>
      <c r="Q70" s="370"/>
      <c r="R70" s="370"/>
      <c r="S70" s="369" t="s">
        <v>1410</v>
      </c>
      <c r="T70" s="370"/>
      <c r="U70" s="370"/>
      <c r="V70" s="370"/>
      <c r="W70" s="177">
        <v>987873.08</v>
      </c>
      <c r="X70" s="177">
        <v>50224.67</v>
      </c>
      <c r="Y70" s="177">
        <v>2422942.21</v>
      </c>
      <c r="Z70" s="27">
        <v>-12966.36</v>
      </c>
    </row>
    <row r="71" spans="2:26" x14ac:dyDescent="0.2">
      <c r="F71" s="369"/>
      <c r="G71" s="370"/>
      <c r="H71" s="370"/>
      <c r="I71" s="370"/>
      <c r="P71" s="369">
        <v>6250101</v>
      </c>
      <c r="Q71" s="370"/>
      <c r="R71" s="370"/>
      <c r="S71" s="369" t="s">
        <v>1414</v>
      </c>
      <c r="T71" s="370"/>
      <c r="U71" s="370"/>
      <c r="V71" s="370"/>
      <c r="W71" s="177">
        <v>481451.89</v>
      </c>
      <c r="X71" s="177">
        <v>216735.33</v>
      </c>
      <c r="Y71" s="177">
        <v>619931.52</v>
      </c>
      <c r="Z71" s="177">
        <v>291173.25</v>
      </c>
    </row>
    <row r="72" spans="2:26" ht="15" x14ac:dyDescent="0.25">
      <c r="D72" s="58">
        <v>2329.1750999999995</v>
      </c>
      <c r="E72" s="58"/>
      <c r="F72" s="136">
        <f>1644.44248-4.12781+84.67043</f>
        <v>1724.9850999999999</v>
      </c>
      <c r="G72" s="58"/>
      <c r="H72" s="58">
        <v>4265.5563499999998</v>
      </c>
      <c r="I72" s="58"/>
      <c r="J72" s="136">
        <f>5501.46101-4.12781-35.691+340.93851</f>
        <v>5802.5807100000002</v>
      </c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</row>
    <row r="73" spans="2:26" x14ac:dyDescent="0.2">
      <c r="F73" s="369"/>
      <c r="G73" s="370"/>
      <c r="H73" s="370"/>
      <c r="I73" s="370"/>
      <c r="P73" s="266"/>
      <c r="Q73" s="266"/>
      <c r="R73" s="266"/>
      <c r="S73" s="266"/>
      <c r="T73" s="266"/>
      <c r="U73" s="266"/>
      <c r="V73" s="266"/>
      <c r="W73" s="25">
        <v>2329175.0999999996</v>
      </c>
      <c r="X73" s="25">
        <v>1458025.0999999999</v>
      </c>
      <c r="Y73" s="25">
        <v>4265556.3499999996</v>
      </c>
      <c r="Z73" s="25">
        <v>5524373.8200000003</v>
      </c>
    </row>
    <row r="74" spans="2:26" x14ac:dyDescent="0.2">
      <c r="F74" s="369"/>
      <c r="G74" s="370"/>
      <c r="H74" s="370"/>
      <c r="I74" s="370"/>
    </row>
    <row r="76" spans="2:26" x14ac:dyDescent="0.2">
      <c r="E76" s="27">
        <v>0</v>
      </c>
      <c r="F76" s="177">
        <v>9669.65</v>
      </c>
      <c r="G76" s="27">
        <v>0</v>
      </c>
      <c r="H76" s="177">
        <v>9669.65</v>
      </c>
    </row>
    <row r="77" spans="2:26" x14ac:dyDescent="0.2">
      <c r="E77" s="27">
        <v>0</v>
      </c>
      <c r="F77" s="177">
        <v>40555.019999999997</v>
      </c>
      <c r="G77" s="27">
        <v>0</v>
      </c>
      <c r="H77" s="27" t="s">
        <v>2048</v>
      </c>
    </row>
    <row r="80" spans="2:26" x14ac:dyDescent="0.2">
      <c r="B80" s="369" t="s">
        <v>1902</v>
      </c>
      <c r="C80" s="370"/>
      <c r="D80" s="370"/>
      <c r="E80" s="369" t="s">
        <v>1903</v>
      </c>
      <c r="F80" s="370"/>
      <c r="G80" s="370"/>
      <c r="H80" s="370"/>
      <c r="I80" s="27">
        <v>0</v>
      </c>
      <c r="J80" s="177">
        <v>9669.65</v>
      </c>
      <c r="K80" s="27">
        <v>0</v>
      </c>
      <c r="L80" s="177">
        <v>9669.65</v>
      </c>
    </row>
    <row r="81" spans="2:12" x14ac:dyDescent="0.2">
      <c r="B81" s="369" t="s">
        <v>1584</v>
      </c>
      <c r="C81" s="370"/>
      <c r="D81" s="370"/>
      <c r="E81" s="369" t="s">
        <v>1585</v>
      </c>
      <c r="F81" s="370"/>
      <c r="G81" s="370"/>
      <c r="H81" s="370"/>
      <c r="I81" s="27">
        <v>0</v>
      </c>
      <c r="J81" s="177">
        <v>40555.019999999997</v>
      </c>
      <c r="K81" s="27">
        <v>0</v>
      </c>
      <c r="L81" s="27">
        <v>-22636.01</v>
      </c>
    </row>
    <row r="82" spans="2:12" x14ac:dyDescent="0.2">
      <c r="I82" s="177">
        <v>481451.89</v>
      </c>
      <c r="J82" s="177">
        <v>216735.33</v>
      </c>
      <c r="K82" s="177">
        <v>619931.52</v>
      </c>
      <c r="L82" s="177">
        <v>291173.25</v>
      </c>
    </row>
    <row r="83" spans="2:12" x14ac:dyDescent="0.2">
      <c r="B83" s="369" t="s">
        <v>1411</v>
      </c>
      <c r="C83" s="370"/>
      <c r="D83" s="370"/>
      <c r="E83" s="369" t="s">
        <v>1412</v>
      </c>
      <c r="F83" s="370"/>
      <c r="G83" s="370"/>
      <c r="H83" s="370"/>
      <c r="I83" s="177">
        <v>755283.03</v>
      </c>
      <c r="J83" s="27">
        <v>0</v>
      </c>
      <c r="K83" s="177">
        <v>2190352.16</v>
      </c>
      <c r="L83" s="27">
        <v>0</v>
      </c>
    </row>
    <row r="84" spans="2:12" x14ac:dyDescent="0.2">
      <c r="B84" s="369" t="s">
        <v>1875</v>
      </c>
      <c r="C84" s="370"/>
      <c r="D84" s="370"/>
      <c r="E84" s="369" t="s">
        <v>1876</v>
      </c>
      <c r="F84" s="370"/>
      <c r="G84" s="370"/>
      <c r="H84" s="370"/>
      <c r="I84" s="177">
        <v>232590.05</v>
      </c>
      <c r="J84" s="27">
        <v>0</v>
      </c>
      <c r="K84" s="177">
        <v>232590.05</v>
      </c>
      <c r="L84" s="27">
        <v>0</v>
      </c>
    </row>
    <row r="86" spans="2:12" x14ac:dyDescent="0.2">
      <c r="I86" s="266">
        <f>SUM(I80:I85)</f>
        <v>1469324.97</v>
      </c>
      <c r="J86" s="266">
        <f t="shared" ref="J86:L86" si="10">SUM(J80:J85)</f>
        <v>266960</v>
      </c>
      <c r="K86" s="266">
        <f t="shared" si="10"/>
        <v>3042873.73</v>
      </c>
      <c r="L86" s="266">
        <f t="shared" si="10"/>
        <v>278206.89</v>
      </c>
    </row>
    <row r="88" spans="2:12" x14ac:dyDescent="0.2">
      <c r="I88" s="266">
        <f>I80/1000</f>
        <v>0</v>
      </c>
      <c r="J88" s="266">
        <f t="shared" ref="J88:L88" si="11">J80/1000</f>
        <v>9.669649999999999</v>
      </c>
      <c r="K88" s="266">
        <f t="shared" si="11"/>
        <v>0</v>
      </c>
      <c r="L88" s="266">
        <f t="shared" si="11"/>
        <v>9.669649999999999</v>
      </c>
    </row>
    <row r="89" spans="2:12" x14ac:dyDescent="0.2">
      <c r="I89" s="266">
        <f t="shared" ref="I89:L91" si="12">I81/1000</f>
        <v>0</v>
      </c>
      <c r="J89" s="266">
        <f t="shared" si="12"/>
        <v>40.555019999999999</v>
      </c>
      <c r="K89" s="266">
        <f t="shared" si="12"/>
        <v>0</v>
      </c>
      <c r="L89" s="266">
        <f t="shared" si="12"/>
        <v>-22.636009999999999</v>
      </c>
    </row>
    <row r="90" spans="2:12" x14ac:dyDescent="0.2">
      <c r="I90" s="266">
        <f t="shared" si="12"/>
        <v>481.45188999999999</v>
      </c>
      <c r="J90" s="266">
        <f t="shared" si="12"/>
        <v>216.73532999999998</v>
      </c>
      <c r="K90" s="266">
        <f t="shared" si="12"/>
        <v>619.93151999999998</v>
      </c>
      <c r="L90" s="266">
        <f t="shared" si="12"/>
        <v>291.17325</v>
      </c>
    </row>
    <row r="91" spans="2:12" x14ac:dyDescent="0.2">
      <c r="I91" s="266">
        <f t="shared" si="12"/>
        <v>755.28303000000005</v>
      </c>
      <c r="J91" s="266">
        <f t="shared" si="12"/>
        <v>0</v>
      </c>
      <c r="K91" s="266">
        <f t="shared" si="12"/>
        <v>2190.3521600000004</v>
      </c>
      <c r="L91" s="266">
        <f t="shared" si="12"/>
        <v>0</v>
      </c>
    </row>
    <row r="92" spans="2:12" x14ac:dyDescent="0.2">
      <c r="I92" s="266">
        <f>I84/1000</f>
        <v>232.59004999999999</v>
      </c>
      <c r="J92" s="266">
        <f t="shared" ref="J92:L92" si="13">J84/1000</f>
        <v>0</v>
      </c>
      <c r="K92" s="266">
        <f t="shared" si="13"/>
        <v>232.59004999999999</v>
      </c>
      <c r="L92" s="266">
        <f t="shared" si="13"/>
        <v>0</v>
      </c>
    </row>
    <row r="102" spans="2:30" ht="13.5" thickBot="1" x14ac:dyDescent="0.25">
      <c r="B102" s="283"/>
      <c r="C102" s="283"/>
      <c r="D102" s="283"/>
      <c r="E102" s="283"/>
      <c r="F102" s="283"/>
    </row>
    <row r="103" spans="2:30" ht="13.5" thickBot="1" x14ac:dyDescent="0.25">
      <c r="B103" s="421" t="s">
        <v>2053</v>
      </c>
      <c r="C103" s="422"/>
      <c r="D103" s="422"/>
      <c r="E103" s="422"/>
      <c r="F103" s="423"/>
    </row>
    <row r="104" spans="2:30" ht="39" thickBot="1" x14ac:dyDescent="0.25">
      <c r="B104" s="300" t="s">
        <v>2054</v>
      </c>
      <c r="C104" s="208" t="s">
        <v>2055</v>
      </c>
      <c r="D104" s="300" t="s">
        <v>2056</v>
      </c>
      <c r="E104" s="301" t="s">
        <v>2057</v>
      </c>
      <c r="F104" s="302" t="s">
        <v>2058</v>
      </c>
      <c r="X104" s="283"/>
      <c r="Y104" s="283"/>
      <c r="Z104" s="283"/>
      <c r="AA104" s="283"/>
      <c r="AB104" s="283"/>
      <c r="AC104" s="283"/>
      <c r="AD104" s="283"/>
    </row>
    <row r="105" spans="2:30" ht="15" thickBot="1" x14ac:dyDescent="0.25">
      <c r="B105" s="289" t="s">
        <v>2059</v>
      </c>
      <c r="C105" s="290" t="s">
        <v>2060</v>
      </c>
      <c r="D105" s="291">
        <v>-4.0000000000000001E-3</v>
      </c>
      <c r="E105" s="292">
        <v>-1.9E-2</v>
      </c>
      <c r="F105" s="293">
        <v>-0.79949999999999999</v>
      </c>
      <c r="X105" s="283"/>
      <c r="Y105" s="421" t="s">
        <v>2053</v>
      </c>
      <c r="Z105" s="422"/>
      <c r="AA105" s="422"/>
      <c r="AB105" s="422"/>
      <c r="AC105" s="423"/>
      <c r="AD105" s="283"/>
    </row>
    <row r="106" spans="2:30" ht="26.25" thickBot="1" x14ac:dyDescent="0.25">
      <c r="B106" s="289" t="s">
        <v>2061</v>
      </c>
      <c r="C106" s="290" t="s">
        <v>2062</v>
      </c>
      <c r="D106" s="291">
        <v>48.011000000000003</v>
      </c>
      <c r="E106" s="292">
        <v>57.146999999999998</v>
      </c>
      <c r="F106" s="293">
        <v>-0.15989999999999999</v>
      </c>
      <c r="X106" s="283"/>
      <c r="Y106" s="300" t="s">
        <v>2054</v>
      </c>
      <c r="Z106" s="310" t="s">
        <v>2055</v>
      </c>
      <c r="AA106" s="301" t="s">
        <v>2018</v>
      </c>
      <c r="AB106" s="301" t="s">
        <v>2019</v>
      </c>
      <c r="AC106" s="311" t="s">
        <v>2058</v>
      </c>
      <c r="AD106" s="283"/>
    </row>
    <row r="107" spans="2:30" ht="14.25" x14ac:dyDescent="0.2">
      <c r="B107" s="289" t="s">
        <v>2063</v>
      </c>
      <c r="C107" s="290" t="s">
        <v>2064</v>
      </c>
      <c r="D107" s="291">
        <v>14.7</v>
      </c>
      <c r="E107" s="292">
        <v>31.099</v>
      </c>
      <c r="F107" s="293">
        <v>-0.52729999999999999</v>
      </c>
      <c r="X107" s="283"/>
      <c r="Y107" s="289" t="s">
        <v>2059</v>
      </c>
      <c r="Z107" s="303" t="s">
        <v>2060</v>
      </c>
      <c r="AA107" s="304">
        <v>4.1332521350872099E-2</v>
      </c>
      <c r="AB107" s="304">
        <v>0.10157852850914</v>
      </c>
      <c r="AC107" s="305">
        <f t="shared" ref="AC107:AC112" si="14">(AA107-AB107)/AB107</f>
        <v>-0.59309785288774863</v>
      </c>
      <c r="AD107" s="283"/>
    </row>
    <row r="108" spans="2:30" ht="14.25" x14ac:dyDescent="0.2">
      <c r="B108" s="289" t="s">
        <v>2065</v>
      </c>
      <c r="C108" s="290" t="s">
        <v>2060</v>
      </c>
      <c r="D108" s="291">
        <v>0.98699999999999999</v>
      </c>
      <c r="E108" s="292">
        <v>0.53400000000000003</v>
      </c>
      <c r="F108" s="293">
        <v>0.84770000000000001</v>
      </c>
      <c r="X108" s="283"/>
      <c r="Y108" s="289" t="s">
        <v>2061</v>
      </c>
      <c r="Z108" s="306" t="s">
        <v>2062</v>
      </c>
      <c r="AA108" s="304">
        <v>54.676040686680302</v>
      </c>
      <c r="AB108" s="304">
        <v>64.165569229673693</v>
      </c>
      <c r="AC108" s="305">
        <f t="shared" si="14"/>
        <v>-0.14789128588615263</v>
      </c>
      <c r="AD108" s="283"/>
    </row>
    <row r="109" spans="2:30" ht="14.25" x14ac:dyDescent="0.2">
      <c r="B109" s="289" t="s">
        <v>2066</v>
      </c>
      <c r="C109" s="290" t="s">
        <v>2060</v>
      </c>
      <c r="D109" s="291">
        <v>0.21</v>
      </c>
      <c r="E109" s="292">
        <v>0.128</v>
      </c>
      <c r="F109" s="293">
        <v>0.64170000000000005</v>
      </c>
      <c r="X109" s="283"/>
      <c r="Y109" s="289" t="s">
        <v>2063</v>
      </c>
      <c r="Z109" s="306" t="s">
        <v>2064</v>
      </c>
      <c r="AA109" s="304">
        <v>61.294860660826302</v>
      </c>
      <c r="AB109" s="304">
        <v>58.336576524971498</v>
      </c>
      <c r="AC109" s="305">
        <f t="shared" si="14"/>
        <v>5.0710622941483097E-2</v>
      </c>
      <c r="AD109" s="283"/>
    </row>
    <row r="110" spans="2:30" ht="15" thickBot="1" x14ac:dyDescent="0.25">
      <c r="B110" s="294" t="s">
        <v>2067</v>
      </c>
      <c r="C110" s="295" t="s">
        <v>2064</v>
      </c>
      <c r="D110" s="296">
        <v>20.401</v>
      </c>
      <c r="E110" s="297">
        <v>21.654</v>
      </c>
      <c r="F110" s="298">
        <v>-5.79E-2</v>
      </c>
      <c r="X110" s="283"/>
      <c r="Y110" s="289" t="s">
        <v>2065</v>
      </c>
      <c r="Z110" s="306" t="s">
        <v>2060</v>
      </c>
      <c r="AA110" s="304">
        <v>1.07645446178676</v>
      </c>
      <c r="AB110" s="304">
        <v>0.49907158893019099</v>
      </c>
      <c r="AC110" s="305">
        <f t="shared" si="14"/>
        <v>1.1569139291103425</v>
      </c>
      <c r="AD110" s="283"/>
    </row>
    <row r="111" spans="2:30" ht="14.25" x14ac:dyDescent="0.2">
      <c r="B111" s="283"/>
      <c r="C111" s="283"/>
      <c r="D111" s="283"/>
      <c r="E111" s="283"/>
      <c r="F111" s="283"/>
      <c r="X111" s="283"/>
      <c r="Y111" s="289" t="s">
        <v>2066</v>
      </c>
      <c r="Z111" s="306" t="s">
        <v>2060</v>
      </c>
      <c r="AA111" s="304">
        <v>0.15308891419950199</v>
      </c>
      <c r="AB111" s="304">
        <v>0.114376153571591</v>
      </c>
      <c r="AC111" s="305">
        <f t="shared" si="14"/>
        <v>0.33846881031612647</v>
      </c>
      <c r="AD111" s="283"/>
    </row>
    <row r="112" spans="2:30" ht="15" thickBot="1" x14ac:dyDescent="0.25">
      <c r="X112" s="283"/>
      <c r="Y112" s="294" t="s">
        <v>2067</v>
      </c>
      <c r="Z112" s="307" t="s">
        <v>2064</v>
      </c>
      <c r="AA112" s="308">
        <v>13.6621231145549</v>
      </c>
      <c r="AB112" s="308">
        <v>20.898041336058501</v>
      </c>
      <c r="AC112" s="309">
        <f t="shared" si="14"/>
        <v>-0.34624863187625121</v>
      </c>
      <c r="AD112" s="283"/>
    </row>
    <row r="113" spans="1:30" x14ac:dyDescent="0.2">
      <c r="X113" s="283"/>
      <c r="Y113" s="283"/>
      <c r="Z113" s="283"/>
      <c r="AA113" s="283"/>
      <c r="AB113" s="283"/>
      <c r="AC113" s="283"/>
      <c r="AD113" s="283"/>
    </row>
    <row r="123" spans="1:30" ht="13.5" thickBot="1" x14ac:dyDescent="0.25">
      <c r="A123" s="283"/>
      <c r="B123" s="283"/>
      <c r="C123" s="283"/>
      <c r="D123" s="283"/>
      <c r="E123" s="283"/>
      <c r="F123" s="283"/>
      <c r="G123" s="283"/>
      <c r="H123" s="283"/>
      <c r="I123" s="283"/>
      <c r="J123" s="283"/>
      <c r="K123" s="283"/>
    </row>
    <row r="124" spans="1:30" ht="26.25" thickBot="1" x14ac:dyDescent="0.25">
      <c r="A124" s="283"/>
      <c r="B124" s="272" t="s">
        <v>1391</v>
      </c>
      <c r="C124" s="283"/>
      <c r="D124" s="273" t="s">
        <v>2018</v>
      </c>
      <c r="E124" s="273" t="s">
        <v>2019</v>
      </c>
      <c r="F124" s="284" t="s">
        <v>2020</v>
      </c>
      <c r="G124" s="283"/>
      <c r="H124" s="273" t="s">
        <v>2021</v>
      </c>
      <c r="I124" s="273" t="s">
        <v>2022</v>
      </c>
      <c r="J124" s="284" t="s">
        <v>2020</v>
      </c>
      <c r="K124" s="283"/>
    </row>
    <row r="125" spans="1:30" ht="25.5" x14ac:dyDescent="0.2">
      <c r="A125" s="283"/>
      <c r="B125" s="316" t="s">
        <v>2077</v>
      </c>
      <c r="C125" s="283"/>
      <c r="D125" s="153">
        <v>0</v>
      </c>
      <c r="E125" s="153">
        <v>2.9418899999999999</v>
      </c>
      <c r="F125" s="275">
        <f>(D125-E125)/E125</f>
        <v>-1</v>
      </c>
      <c r="G125" s="283"/>
      <c r="H125" s="153">
        <v>0</v>
      </c>
      <c r="I125" s="153">
        <v>3.0139</v>
      </c>
      <c r="J125" s="275">
        <f t="shared" ref="J125" si="15">(H125-I125)/I125</f>
        <v>-1</v>
      </c>
      <c r="K125" s="283"/>
    </row>
    <row r="126" spans="1:30" x14ac:dyDescent="0.2">
      <c r="A126" s="283"/>
      <c r="B126" s="276" t="s">
        <v>2069</v>
      </c>
      <c r="C126" s="283"/>
      <c r="D126" s="153">
        <v>80.638559999999998</v>
      </c>
      <c r="E126" s="153">
        <v>32.452959999999997</v>
      </c>
      <c r="F126" s="275">
        <f t="shared" ref="F126:F130" si="16">(D126-E126)/E126</f>
        <v>1.4847828980777102</v>
      </c>
      <c r="G126" s="283"/>
      <c r="H126" s="153">
        <v>128.42408</v>
      </c>
      <c r="I126" s="153">
        <v>224.58113</v>
      </c>
      <c r="J126" s="275">
        <f>(H126-I126)/I126</f>
        <v>-0.42816175161288039</v>
      </c>
      <c r="K126" s="283"/>
    </row>
    <row r="127" spans="1:30" x14ac:dyDescent="0.2">
      <c r="A127" s="283"/>
      <c r="B127" s="276" t="s">
        <v>2078</v>
      </c>
      <c r="C127" s="283"/>
      <c r="D127" s="153">
        <v>2.44</v>
      </c>
      <c r="E127" s="153">
        <v>2.4009800000000001</v>
      </c>
      <c r="F127" s="275">
        <f t="shared" si="16"/>
        <v>1.6251697223633614E-2</v>
      </c>
      <c r="G127" s="283"/>
      <c r="H127" s="153">
        <v>2.44</v>
      </c>
      <c r="I127" s="153">
        <v>3.3398500000000002</v>
      </c>
      <c r="J127" s="275">
        <f t="shared" ref="J127:J131" si="17">(H127-I127)/I127</f>
        <v>-0.26942826773657508</v>
      </c>
      <c r="K127" s="283"/>
    </row>
    <row r="128" spans="1:30" ht="25.5" x14ac:dyDescent="0.2">
      <c r="A128" s="283"/>
      <c r="B128" s="194" t="s">
        <v>2070</v>
      </c>
      <c r="C128" s="283"/>
      <c r="D128" s="153">
        <v>35.146230000000003</v>
      </c>
      <c r="E128" s="153">
        <v>19.676629999999999</v>
      </c>
      <c r="F128" s="275">
        <f t="shared" si="16"/>
        <v>0.78619153788021645</v>
      </c>
      <c r="G128" s="283"/>
      <c r="H128" s="153">
        <v>177.57424</v>
      </c>
      <c r="I128" s="153">
        <v>85.010379999999998</v>
      </c>
      <c r="J128" s="275">
        <f t="shared" si="17"/>
        <v>1.088853619993229</v>
      </c>
      <c r="K128" s="283"/>
    </row>
    <row r="129" spans="1:11" ht="25.5" x14ac:dyDescent="0.2">
      <c r="A129" s="283"/>
      <c r="B129" s="194" t="s">
        <v>2071</v>
      </c>
      <c r="C129" s="283"/>
      <c r="D129" s="153">
        <v>0.19386999999999999</v>
      </c>
      <c r="E129" s="153">
        <v>8.3300000000000006E-3</v>
      </c>
      <c r="F129" s="275">
        <v>0</v>
      </c>
      <c r="G129" s="283"/>
      <c r="H129" s="153">
        <v>138.91991999999999</v>
      </c>
      <c r="I129" s="153">
        <v>14.41037</v>
      </c>
      <c r="J129" s="275">
        <f t="shared" si="17"/>
        <v>8.6402743302219154</v>
      </c>
      <c r="K129" s="283"/>
    </row>
    <row r="130" spans="1:11" ht="25.5" x14ac:dyDescent="0.2">
      <c r="A130" s="283"/>
      <c r="B130" s="194" t="s">
        <v>2072</v>
      </c>
      <c r="C130" s="283"/>
      <c r="D130" s="153">
        <v>385.29658999999998</v>
      </c>
      <c r="E130" s="153">
        <v>46.276809999999998</v>
      </c>
      <c r="F130" s="275">
        <f t="shared" si="16"/>
        <v>7.325910753139639</v>
      </c>
      <c r="G130" s="283"/>
      <c r="H130" s="153">
        <v>463.88139999999999</v>
      </c>
      <c r="I130" s="153">
        <v>46.276809999999998</v>
      </c>
      <c r="J130" s="275">
        <f t="shared" si="17"/>
        <v>9.0240574058583558</v>
      </c>
      <c r="K130" s="283"/>
    </row>
    <row r="131" spans="1:11" ht="13.5" thickBot="1" x14ac:dyDescent="0.25">
      <c r="A131" s="283"/>
      <c r="B131" s="314" t="s">
        <v>2079</v>
      </c>
      <c r="C131" s="283"/>
      <c r="D131" s="277">
        <v>0</v>
      </c>
      <c r="E131" s="277">
        <v>0</v>
      </c>
      <c r="F131" s="275">
        <v>0</v>
      </c>
      <c r="G131" s="283"/>
      <c r="H131" s="277">
        <v>0</v>
      </c>
      <c r="I131" s="277">
        <v>0.73462000000000005</v>
      </c>
      <c r="J131" s="275">
        <f t="shared" si="17"/>
        <v>-1</v>
      </c>
      <c r="K131" s="283"/>
    </row>
    <row r="132" spans="1:11" ht="13.5" thickBot="1" x14ac:dyDescent="0.25">
      <c r="A132" s="283"/>
      <c r="B132" s="229" t="s">
        <v>1912</v>
      </c>
      <c r="C132" s="283"/>
      <c r="D132" s="279">
        <f>SUM(D125:D131)</f>
        <v>503.71524999999997</v>
      </c>
      <c r="E132" s="279">
        <f>SUM(E125:E131)</f>
        <v>103.7576</v>
      </c>
      <c r="F132" s="280">
        <f>(D132-E132)/E132</f>
        <v>3.8547311233104846</v>
      </c>
      <c r="G132" s="283"/>
      <c r="H132" s="279">
        <f t="shared" ref="H132:I132" si="18">SUM(H125:H131)</f>
        <v>911.23964000000001</v>
      </c>
      <c r="I132" s="279">
        <f t="shared" si="18"/>
        <v>377.36706000000004</v>
      </c>
      <c r="J132" s="280">
        <f>(H132-I132)/I132</f>
        <v>1.4147302098916634</v>
      </c>
      <c r="K132" s="283"/>
    </row>
    <row r="133" spans="1:11" x14ac:dyDescent="0.2">
      <c r="A133" s="283"/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</row>
    <row r="137" spans="1:11" ht="13.5" thickBot="1" x14ac:dyDescent="0.25">
      <c r="B137" s="283"/>
      <c r="C137" s="283"/>
      <c r="D137" s="283"/>
      <c r="E137" s="283"/>
      <c r="F137" s="283"/>
      <c r="G137" s="283"/>
      <c r="H137" s="283"/>
      <c r="I137" s="283"/>
      <c r="J137" s="283"/>
      <c r="K137" s="283"/>
    </row>
    <row r="138" spans="1:11" ht="26.25" thickBot="1" x14ac:dyDescent="0.25">
      <c r="B138" s="272" t="s">
        <v>1380</v>
      </c>
      <c r="C138" s="283"/>
      <c r="D138" s="273" t="s">
        <v>2018</v>
      </c>
      <c r="E138" s="273" t="s">
        <v>2019</v>
      </c>
      <c r="F138" s="284" t="s">
        <v>2020</v>
      </c>
      <c r="G138" s="283"/>
      <c r="H138" s="273" t="s">
        <v>2021</v>
      </c>
      <c r="I138" s="273" t="s">
        <v>2022</v>
      </c>
      <c r="J138" s="284" t="s">
        <v>2020</v>
      </c>
      <c r="K138" s="283"/>
    </row>
    <row r="139" spans="1:11" ht="25.5" x14ac:dyDescent="0.2">
      <c r="B139" s="316" t="s">
        <v>2085</v>
      </c>
      <c r="C139" s="283"/>
      <c r="D139" s="32">
        <v>2.7612800000000002</v>
      </c>
      <c r="E139" s="32">
        <v>0</v>
      </c>
      <c r="F139" s="275">
        <v>1</v>
      </c>
      <c r="G139" s="283"/>
      <c r="H139" s="32">
        <v>23.371599999999997</v>
      </c>
      <c r="I139" s="32">
        <v>0</v>
      </c>
      <c r="J139" s="275">
        <v>1</v>
      </c>
      <c r="K139" s="283"/>
    </row>
    <row r="140" spans="1:11" ht="25.5" x14ac:dyDescent="0.2">
      <c r="B140" s="316" t="s">
        <v>2080</v>
      </c>
      <c r="C140" s="283"/>
      <c r="D140" s="32">
        <v>693.31259999999997</v>
      </c>
      <c r="E140" s="32">
        <v>106.19165</v>
      </c>
      <c r="F140" s="275">
        <f t="shared" ref="F140:F142" si="19">(D140-E140)/E140</f>
        <v>5.5288805664098826</v>
      </c>
      <c r="G140" s="283"/>
      <c r="H140" s="32">
        <v>863.27065000000005</v>
      </c>
      <c r="I140" s="32">
        <v>321.91642999999999</v>
      </c>
      <c r="J140" s="275">
        <f>(H140-I140)/I140</f>
        <v>1.6816607341228282</v>
      </c>
      <c r="K140" s="283"/>
    </row>
    <row r="141" spans="1:11" x14ac:dyDescent="0.2">
      <c r="B141" s="316" t="s">
        <v>2081</v>
      </c>
      <c r="C141" s="283"/>
      <c r="D141" s="32">
        <v>2.5472100000000002</v>
      </c>
      <c r="E141" s="32">
        <v>123.96733999999999</v>
      </c>
      <c r="F141" s="275">
        <f t="shared" si="19"/>
        <v>-0.97945257194354574</v>
      </c>
      <c r="G141" s="283"/>
      <c r="H141" s="32">
        <v>2.7961</v>
      </c>
      <c r="I141" s="32">
        <v>256.86975999999999</v>
      </c>
      <c r="J141" s="275">
        <f>(H141-I141)/I141</f>
        <v>-0.98911471712357268</v>
      </c>
      <c r="K141" s="283"/>
    </row>
    <row r="142" spans="1:11" x14ac:dyDescent="0.2">
      <c r="B142" s="194" t="s">
        <v>2082</v>
      </c>
      <c r="C142" s="283"/>
      <c r="D142" s="32">
        <v>3.13266</v>
      </c>
      <c r="E142" s="32">
        <v>6.9949500000000002</v>
      </c>
      <c r="F142" s="275">
        <f t="shared" si="19"/>
        <v>-0.55215405399609718</v>
      </c>
      <c r="G142" s="283"/>
      <c r="H142" s="32">
        <v>10.993319999999999</v>
      </c>
      <c r="I142" s="32">
        <v>18.92296</v>
      </c>
      <c r="J142" s="275">
        <f>(H142-I142)/I142</f>
        <v>-0.41904860550357875</v>
      </c>
      <c r="K142" s="283"/>
    </row>
    <row r="143" spans="1:11" x14ac:dyDescent="0.2">
      <c r="B143" s="194" t="s">
        <v>2083</v>
      </c>
      <c r="C143" s="283"/>
      <c r="D143" s="32">
        <v>282.827</v>
      </c>
      <c r="E143" s="32">
        <v>828.14731000000006</v>
      </c>
      <c r="F143" s="275">
        <v>0</v>
      </c>
      <c r="G143" s="283"/>
      <c r="H143" s="32">
        <v>1261.28925</v>
      </c>
      <c r="I143" s="32">
        <v>2414.18154</v>
      </c>
      <c r="J143" s="275">
        <f>(H143-I143)/I143</f>
        <v>-0.47754995674434658</v>
      </c>
      <c r="K143" s="283"/>
    </row>
    <row r="144" spans="1:11" ht="13.5" thickBot="1" x14ac:dyDescent="0.25">
      <c r="B144" s="194" t="s">
        <v>2084</v>
      </c>
      <c r="C144" s="283"/>
      <c r="D144" s="32">
        <v>0</v>
      </c>
      <c r="E144" s="32">
        <v>0.87558999999999998</v>
      </c>
      <c r="F144" s="275">
        <f t="shared" ref="F144" si="20">(D144-E144)/E144</f>
        <v>-1</v>
      </c>
      <c r="G144" s="283"/>
      <c r="H144" s="283">
        <v>0</v>
      </c>
      <c r="I144" s="32">
        <v>3.8715900000000003</v>
      </c>
      <c r="J144" s="275">
        <f t="shared" ref="J144" si="21">(H144-I144)/I144</f>
        <v>-1</v>
      </c>
      <c r="K144" s="283"/>
    </row>
    <row r="145" spans="1:11" ht="13.5" thickBot="1" x14ac:dyDescent="0.25">
      <c r="B145" s="229" t="s">
        <v>1912</v>
      </c>
      <c r="C145" s="283"/>
      <c r="D145" s="279">
        <f>SUM(D139:D144)</f>
        <v>984.58074999999997</v>
      </c>
      <c r="E145" s="279">
        <f>SUM(E139:E144)</f>
        <v>1066.1768400000001</v>
      </c>
      <c r="F145" s="280">
        <f>(D145-E145)/E145</f>
        <v>-7.6531478586610552E-2</v>
      </c>
      <c r="G145" s="283"/>
      <c r="H145" s="279">
        <f>SUM(H139:H144)</f>
        <v>2161.7209200000002</v>
      </c>
      <c r="I145" s="279">
        <f>SUM(I139:I144)</f>
        <v>3015.7622800000004</v>
      </c>
      <c r="J145" s="280">
        <f>(H145-I145)/I145</f>
        <v>-0.28319253333190442</v>
      </c>
      <c r="K145" s="283"/>
    </row>
    <row r="146" spans="1:11" x14ac:dyDescent="0.2">
      <c r="B146" s="283"/>
      <c r="C146" s="283"/>
      <c r="D146" s="283"/>
      <c r="E146" s="283"/>
      <c r="F146" s="283"/>
      <c r="G146" s="283"/>
      <c r="H146" s="283"/>
      <c r="I146" s="283"/>
      <c r="J146" s="283"/>
      <c r="K146" s="283"/>
    </row>
    <row r="147" spans="1:11" x14ac:dyDescent="0.2">
      <c r="B147" s="283"/>
      <c r="C147" s="283"/>
      <c r="D147" s="283"/>
      <c r="E147" s="283"/>
      <c r="F147" s="283"/>
      <c r="G147" s="283"/>
      <c r="H147" s="283"/>
      <c r="I147" s="283"/>
      <c r="J147" s="283"/>
      <c r="K147" s="283"/>
    </row>
    <row r="153" spans="1:11" x14ac:dyDescent="0.2">
      <c r="A153" s="369"/>
      <c r="B153" s="370"/>
      <c r="C153" s="370"/>
      <c r="D153" s="369"/>
      <c r="E153" s="370"/>
      <c r="F153" s="370"/>
      <c r="G153" s="370"/>
      <c r="H153" s="177"/>
      <c r="I153" s="27"/>
      <c r="J153" s="177"/>
      <c r="K153" s="27"/>
    </row>
    <row r="154" spans="1:11" x14ac:dyDescent="0.2">
      <c r="A154" s="369"/>
      <c r="B154" s="370"/>
      <c r="C154" s="370"/>
      <c r="D154" s="369"/>
      <c r="E154" s="370"/>
      <c r="F154" s="370"/>
      <c r="G154" s="370"/>
      <c r="H154" s="177"/>
      <c r="I154" s="177"/>
      <c r="J154" s="177"/>
      <c r="K154" s="177"/>
    </row>
    <row r="155" spans="1:11" x14ac:dyDescent="0.2">
      <c r="A155" s="369"/>
      <c r="B155" s="370"/>
      <c r="C155" s="370"/>
      <c r="D155" s="369"/>
      <c r="E155" s="370"/>
      <c r="F155" s="370"/>
      <c r="G155" s="370"/>
      <c r="H155" s="177"/>
      <c r="I155" s="177"/>
      <c r="J155" s="177"/>
      <c r="K155" s="177"/>
    </row>
    <row r="156" spans="1:11" x14ac:dyDescent="0.2">
      <c r="A156" s="369"/>
      <c r="B156" s="370"/>
      <c r="C156" s="370"/>
      <c r="D156" s="369"/>
      <c r="E156" s="370"/>
      <c r="F156" s="370"/>
      <c r="G156" s="370"/>
      <c r="H156" s="177"/>
      <c r="I156" s="177"/>
      <c r="J156" s="177"/>
      <c r="K156" s="177"/>
    </row>
    <row r="157" spans="1:11" x14ac:dyDescent="0.2">
      <c r="A157" s="369"/>
      <c r="B157" s="370"/>
      <c r="C157" s="370"/>
      <c r="D157" s="369"/>
      <c r="E157" s="370"/>
      <c r="F157" s="370"/>
      <c r="G157" s="370"/>
      <c r="H157" s="177"/>
      <c r="I157" s="177"/>
      <c r="J157" s="177"/>
      <c r="K157" s="177"/>
    </row>
    <row r="158" spans="1:11" x14ac:dyDescent="0.2">
      <c r="A158" s="369"/>
      <c r="B158" s="370"/>
      <c r="C158" s="370"/>
      <c r="D158" s="369"/>
      <c r="E158" s="370"/>
      <c r="F158" s="370"/>
      <c r="G158" s="370"/>
      <c r="H158" s="27"/>
      <c r="I158" s="27"/>
      <c r="J158" s="27"/>
      <c r="K158" s="177"/>
    </row>
    <row r="161" spans="8:11" x14ac:dyDescent="0.2">
      <c r="H161" s="32"/>
      <c r="I161" s="32"/>
      <c r="J161" s="32"/>
      <c r="K161" s="32"/>
    </row>
    <row r="162" spans="8:11" x14ac:dyDescent="0.2">
      <c r="H162" s="32"/>
      <c r="I162" s="32"/>
      <c r="J162" s="32"/>
      <c r="K162" s="32"/>
    </row>
    <row r="163" spans="8:11" x14ac:dyDescent="0.2">
      <c r="H163" s="32"/>
      <c r="I163" s="32"/>
      <c r="J163" s="32"/>
      <c r="K163" s="32"/>
    </row>
    <row r="164" spans="8:11" x14ac:dyDescent="0.2">
      <c r="H164" s="32"/>
      <c r="I164" s="32"/>
      <c r="J164" s="32"/>
      <c r="K164" s="32"/>
    </row>
    <row r="165" spans="8:11" x14ac:dyDescent="0.2">
      <c r="H165" s="32"/>
      <c r="I165" s="32"/>
      <c r="J165" s="32"/>
      <c r="K165" s="32"/>
    </row>
    <row r="166" spans="8:11" x14ac:dyDescent="0.2">
      <c r="H166" s="283"/>
      <c r="I166" s="283"/>
      <c r="J166" s="283"/>
      <c r="K166" s="283"/>
    </row>
    <row r="167" spans="8:11" x14ac:dyDescent="0.2">
      <c r="H167" s="283"/>
    </row>
    <row r="168" spans="8:11" x14ac:dyDescent="0.2">
      <c r="H168" s="283"/>
    </row>
    <row r="169" spans="8:11" x14ac:dyDescent="0.2">
      <c r="H169" s="283"/>
    </row>
  </sheetData>
  <mergeCells count="49">
    <mergeCell ref="A157:C157"/>
    <mergeCell ref="D157:G157"/>
    <mergeCell ref="A158:C158"/>
    <mergeCell ref="D158:G158"/>
    <mergeCell ref="A154:C154"/>
    <mergeCell ref="D154:G154"/>
    <mergeCell ref="A155:C155"/>
    <mergeCell ref="D155:G155"/>
    <mergeCell ref="A156:C156"/>
    <mergeCell ref="D156:G156"/>
    <mergeCell ref="B103:F103"/>
    <mergeCell ref="Y105:AC105"/>
    <mergeCell ref="A153:C153"/>
    <mergeCell ref="D153:G153"/>
    <mergeCell ref="B84:D84"/>
    <mergeCell ref="E84:H84"/>
    <mergeCell ref="F71:I71"/>
    <mergeCell ref="F73:I73"/>
    <mergeCell ref="P71:R71"/>
    <mergeCell ref="P68:R68"/>
    <mergeCell ref="P69:R69"/>
    <mergeCell ref="P70:R70"/>
    <mergeCell ref="F68:I68"/>
    <mergeCell ref="S66:V66"/>
    <mergeCell ref="P67:R67"/>
    <mergeCell ref="S67:V67"/>
    <mergeCell ref="B83:D83"/>
    <mergeCell ref="E83:H83"/>
    <mergeCell ref="S71:V71"/>
    <mergeCell ref="S68:V68"/>
    <mergeCell ref="S69:V69"/>
    <mergeCell ref="S70:V70"/>
    <mergeCell ref="P66:R66"/>
    <mergeCell ref="B81:D81"/>
    <mergeCell ref="E81:H81"/>
    <mergeCell ref="B80:D80"/>
    <mergeCell ref="E80:H80"/>
    <mergeCell ref="F74:I74"/>
    <mergeCell ref="F69:I69"/>
    <mergeCell ref="O58:Q58"/>
    <mergeCell ref="R58:U58"/>
    <mergeCell ref="O59:Q59"/>
    <mergeCell ref="R59:U59"/>
    <mergeCell ref="O55:Q55"/>
    <mergeCell ref="R55:U55"/>
    <mergeCell ref="O56:Q56"/>
    <mergeCell ref="R56:U56"/>
    <mergeCell ref="O57:Q57"/>
    <mergeCell ref="R57:U57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H338" sqref="H3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7"/>
  <sheetViews>
    <sheetView topLeftCell="A634" zoomScale="118" zoomScaleNormal="118" workbookViewId="0">
      <selection activeCell="A647" sqref="A647:K647"/>
    </sheetView>
  </sheetViews>
  <sheetFormatPr defaultRowHeight="12.75" x14ac:dyDescent="0.2"/>
  <cols>
    <col min="1" max="1" width="13.85546875" style="157" customWidth="1"/>
    <col min="2" max="2" width="2.140625" style="157" customWidth="1"/>
    <col min="3" max="3" width="23.5703125" style="157" customWidth="1"/>
    <col min="4" max="4" width="26.85546875" style="157" customWidth="1"/>
    <col min="5" max="5" width="16.140625" style="157" customWidth="1"/>
    <col min="6" max="6" width="15.42578125" style="157" customWidth="1"/>
    <col min="7" max="7" width="2.140625" style="157" customWidth="1"/>
    <col min="8" max="8" width="14" style="157" customWidth="1"/>
    <col min="9" max="9" width="2.140625" style="157" customWidth="1"/>
    <col min="10" max="10" width="15.42578125" style="157" customWidth="1"/>
    <col min="11" max="11" width="14" style="25" bestFit="1" customWidth="1"/>
    <col min="12" max="256" width="9.140625" style="157"/>
    <col min="257" max="257" width="13.85546875" style="157" customWidth="1"/>
    <col min="258" max="258" width="2.140625" style="157" customWidth="1"/>
    <col min="259" max="259" width="23.5703125" style="157" customWidth="1"/>
    <col min="260" max="260" width="26.85546875" style="157" customWidth="1"/>
    <col min="261" max="261" width="16.140625" style="157" customWidth="1"/>
    <col min="262" max="262" width="15.42578125" style="157" customWidth="1"/>
    <col min="263" max="263" width="2.140625" style="157" customWidth="1"/>
    <col min="264" max="264" width="14" style="157" customWidth="1"/>
    <col min="265" max="265" width="2.140625" style="157" customWidth="1"/>
    <col min="266" max="266" width="15.42578125" style="157" customWidth="1"/>
    <col min="267" max="512" width="9.140625" style="157"/>
    <col min="513" max="513" width="13.85546875" style="157" customWidth="1"/>
    <col min="514" max="514" width="2.140625" style="157" customWidth="1"/>
    <col min="515" max="515" width="23.5703125" style="157" customWidth="1"/>
    <col min="516" max="516" width="26.85546875" style="157" customWidth="1"/>
    <col min="517" max="517" width="16.140625" style="157" customWidth="1"/>
    <col min="518" max="518" width="15.42578125" style="157" customWidth="1"/>
    <col min="519" max="519" width="2.140625" style="157" customWidth="1"/>
    <col min="520" max="520" width="14" style="157" customWidth="1"/>
    <col min="521" max="521" width="2.140625" style="157" customWidth="1"/>
    <col min="522" max="522" width="15.42578125" style="157" customWidth="1"/>
    <col min="523" max="768" width="9.140625" style="157"/>
    <col min="769" max="769" width="13.85546875" style="157" customWidth="1"/>
    <col min="770" max="770" width="2.140625" style="157" customWidth="1"/>
    <col min="771" max="771" width="23.5703125" style="157" customWidth="1"/>
    <col min="772" max="772" width="26.85546875" style="157" customWidth="1"/>
    <col min="773" max="773" width="16.140625" style="157" customWidth="1"/>
    <col min="774" max="774" width="15.42578125" style="157" customWidth="1"/>
    <col min="775" max="775" width="2.140625" style="157" customWidth="1"/>
    <col min="776" max="776" width="14" style="157" customWidth="1"/>
    <col min="777" max="777" width="2.140625" style="157" customWidth="1"/>
    <col min="778" max="778" width="15.42578125" style="157" customWidth="1"/>
    <col min="779" max="1024" width="9.140625" style="157"/>
    <col min="1025" max="1025" width="13.85546875" style="157" customWidth="1"/>
    <col min="1026" max="1026" width="2.140625" style="157" customWidth="1"/>
    <col min="1027" max="1027" width="23.5703125" style="157" customWidth="1"/>
    <col min="1028" max="1028" width="26.85546875" style="157" customWidth="1"/>
    <col min="1029" max="1029" width="16.140625" style="157" customWidth="1"/>
    <col min="1030" max="1030" width="15.42578125" style="157" customWidth="1"/>
    <col min="1031" max="1031" width="2.140625" style="157" customWidth="1"/>
    <col min="1032" max="1032" width="14" style="157" customWidth="1"/>
    <col min="1033" max="1033" width="2.140625" style="157" customWidth="1"/>
    <col min="1034" max="1034" width="15.42578125" style="157" customWidth="1"/>
    <col min="1035" max="1280" width="9.140625" style="157"/>
    <col min="1281" max="1281" width="13.85546875" style="157" customWidth="1"/>
    <col min="1282" max="1282" width="2.140625" style="157" customWidth="1"/>
    <col min="1283" max="1283" width="23.5703125" style="157" customWidth="1"/>
    <col min="1284" max="1284" width="26.85546875" style="157" customWidth="1"/>
    <col min="1285" max="1285" width="16.140625" style="157" customWidth="1"/>
    <col min="1286" max="1286" width="15.42578125" style="157" customWidth="1"/>
    <col min="1287" max="1287" width="2.140625" style="157" customWidth="1"/>
    <col min="1288" max="1288" width="14" style="157" customWidth="1"/>
    <col min="1289" max="1289" width="2.140625" style="157" customWidth="1"/>
    <col min="1290" max="1290" width="15.42578125" style="157" customWidth="1"/>
    <col min="1291" max="1536" width="9.140625" style="157"/>
    <col min="1537" max="1537" width="13.85546875" style="157" customWidth="1"/>
    <col min="1538" max="1538" width="2.140625" style="157" customWidth="1"/>
    <col min="1539" max="1539" width="23.5703125" style="157" customWidth="1"/>
    <col min="1540" max="1540" width="26.85546875" style="157" customWidth="1"/>
    <col min="1541" max="1541" width="16.140625" style="157" customWidth="1"/>
    <col min="1542" max="1542" width="15.42578125" style="157" customWidth="1"/>
    <col min="1543" max="1543" width="2.140625" style="157" customWidth="1"/>
    <col min="1544" max="1544" width="14" style="157" customWidth="1"/>
    <col min="1545" max="1545" width="2.140625" style="157" customWidth="1"/>
    <col min="1546" max="1546" width="15.42578125" style="157" customWidth="1"/>
    <col min="1547" max="1792" width="9.140625" style="157"/>
    <col min="1793" max="1793" width="13.85546875" style="157" customWidth="1"/>
    <col min="1794" max="1794" width="2.140625" style="157" customWidth="1"/>
    <col min="1795" max="1795" width="23.5703125" style="157" customWidth="1"/>
    <col min="1796" max="1796" width="26.85546875" style="157" customWidth="1"/>
    <col min="1797" max="1797" width="16.140625" style="157" customWidth="1"/>
    <col min="1798" max="1798" width="15.42578125" style="157" customWidth="1"/>
    <col min="1799" max="1799" width="2.140625" style="157" customWidth="1"/>
    <col min="1800" max="1800" width="14" style="157" customWidth="1"/>
    <col min="1801" max="1801" width="2.140625" style="157" customWidth="1"/>
    <col min="1802" max="1802" width="15.42578125" style="157" customWidth="1"/>
    <col min="1803" max="2048" width="9.140625" style="157"/>
    <col min="2049" max="2049" width="13.85546875" style="157" customWidth="1"/>
    <col min="2050" max="2050" width="2.140625" style="157" customWidth="1"/>
    <col min="2051" max="2051" width="23.5703125" style="157" customWidth="1"/>
    <col min="2052" max="2052" width="26.85546875" style="157" customWidth="1"/>
    <col min="2053" max="2053" width="16.140625" style="157" customWidth="1"/>
    <col min="2054" max="2054" width="15.42578125" style="157" customWidth="1"/>
    <col min="2055" max="2055" width="2.140625" style="157" customWidth="1"/>
    <col min="2056" max="2056" width="14" style="157" customWidth="1"/>
    <col min="2057" max="2057" width="2.140625" style="157" customWidth="1"/>
    <col min="2058" max="2058" width="15.42578125" style="157" customWidth="1"/>
    <col min="2059" max="2304" width="9.140625" style="157"/>
    <col min="2305" max="2305" width="13.85546875" style="157" customWidth="1"/>
    <col min="2306" max="2306" width="2.140625" style="157" customWidth="1"/>
    <col min="2307" max="2307" width="23.5703125" style="157" customWidth="1"/>
    <col min="2308" max="2308" width="26.85546875" style="157" customWidth="1"/>
    <col min="2309" max="2309" width="16.140625" style="157" customWidth="1"/>
    <col min="2310" max="2310" width="15.42578125" style="157" customWidth="1"/>
    <col min="2311" max="2311" width="2.140625" style="157" customWidth="1"/>
    <col min="2312" max="2312" width="14" style="157" customWidth="1"/>
    <col min="2313" max="2313" width="2.140625" style="157" customWidth="1"/>
    <col min="2314" max="2314" width="15.42578125" style="157" customWidth="1"/>
    <col min="2315" max="2560" width="9.140625" style="157"/>
    <col min="2561" max="2561" width="13.85546875" style="157" customWidth="1"/>
    <col min="2562" max="2562" width="2.140625" style="157" customWidth="1"/>
    <col min="2563" max="2563" width="23.5703125" style="157" customWidth="1"/>
    <col min="2564" max="2564" width="26.85546875" style="157" customWidth="1"/>
    <col min="2565" max="2565" width="16.140625" style="157" customWidth="1"/>
    <col min="2566" max="2566" width="15.42578125" style="157" customWidth="1"/>
    <col min="2567" max="2567" width="2.140625" style="157" customWidth="1"/>
    <col min="2568" max="2568" width="14" style="157" customWidth="1"/>
    <col min="2569" max="2569" width="2.140625" style="157" customWidth="1"/>
    <col min="2570" max="2570" width="15.42578125" style="157" customWidth="1"/>
    <col min="2571" max="2816" width="9.140625" style="157"/>
    <col min="2817" max="2817" width="13.85546875" style="157" customWidth="1"/>
    <col min="2818" max="2818" width="2.140625" style="157" customWidth="1"/>
    <col min="2819" max="2819" width="23.5703125" style="157" customWidth="1"/>
    <col min="2820" max="2820" width="26.85546875" style="157" customWidth="1"/>
    <col min="2821" max="2821" width="16.140625" style="157" customWidth="1"/>
    <col min="2822" max="2822" width="15.42578125" style="157" customWidth="1"/>
    <col min="2823" max="2823" width="2.140625" style="157" customWidth="1"/>
    <col min="2824" max="2824" width="14" style="157" customWidth="1"/>
    <col min="2825" max="2825" width="2.140625" style="157" customWidth="1"/>
    <col min="2826" max="2826" width="15.42578125" style="157" customWidth="1"/>
    <col min="2827" max="3072" width="9.140625" style="157"/>
    <col min="3073" max="3073" width="13.85546875" style="157" customWidth="1"/>
    <col min="3074" max="3074" width="2.140625" style="157" customWidth="1"/>
    <col min="3075" max="3075" width="23.5703125" style="157" customWidth="1"/>
    <col min="3076" max="3076" width="26.85546875" style="157" customWidth="1"/>
    <col min="3077" max="3077" width="16.140625" style="157" customWidth="1"/>
    <col min="3078" max="3078" width="15.42578125" style="157" customWidth="1"/>
    <col min="3079" max="3079" width="2.140625" style="157" customWidth="1"/>
    <col min="3080" max="3080" width="14" style="157" customWidth="1"/>
    <col min="3081" max="3081" width="2.140625" style="157" customWidth="1"/>
    <col min="3082" max="3082" width="15.42578125" style="157" customWidth="1"/>
    <col min="3083" max="3328" width="9.140625" style="157"/>
    <col min="3329" max="3329" width="13.85546875" style="157" customWidth="1"/>
    <col min="3330" max="3330" width="2.140625" style="157" customWidth="1"/>
    <col min="3331" max="3331" width="23.5703125" style="157" customWidth="1"/>
    <col min="3332" max="3332" width="26.85546875" style="157" customWidth="1"/>
    <col min="3333" max="3333" width="16.140625" style="157" customWidth="1"/>
    <col min="3334" max="3334" width="15.42578125" style="157" customWidth="1"/>
    <col min="3335" max="3335" width="2.140625" style="157" customWidth="1"/>
    <col min="3336" max="3336" width="14" style="157" customWidth="1"/>
    <col min="3337" max="3337" width="2.140625" style="157" customWidth="1"/>
    <col min="3338" max="3338" width="15.42578125" style="157" customWidth="1"/>
    <col min="3339" max="3584" width="9.140625" style="157"/>
    <col min="3585" max="3585" width="13.85546875" style="157" customWidth="1"/>
    <col min="3586" max="3586" width="2.140625" style="157" customWidth="1"/>
    <col min="3587" max="3587" width="23.5703125" style="157" customWidth="1"/>
    <col min="3588" max="3588" width="26.85546875" style="157" customWidth="1"/>
    <col min="3589" max="3589" width="16.140625" style="157" customWidth="1"/>
    <col min="3590" max="3590" width="15.42578125" style="157" customWidth="1"/>
    <col min="3591" max="3591" width="2.140625" style="157" customWidth="1"/>
    <col min="3592" max="3592" width="14" style="157" customWidth="1"/>
    <col min="3593" max="3593" width="2.140625" style="157" customWidth="1"/>
    <col min="3594" max="3594" width="15.42578125" style="157" customWidth="1"/>
    <col min="3595" max="3840" width="9.140625" style="157"/>
    <col min="3841" max="3841" width="13.85546875" style="157" customWidth="1"/>
    <col min="3842" max="3842" width="2.140625" style="157" customWidth="1"/>
    <col min="3843" max="3843" width="23.5703125" style="157" customWidth="1"/>
    <col min="3844" max="3844" width="26.85546875" style="157" customWidth="1"/>
    <col min="3845" max="3845" width="16.140625" style="157" customWidth="1"/>
    <col min="3846" max="3846" width="15.42578125" style="157" customWidth="1"/>
    <col min="3847" max="3847" width="2.140625" style="157" customWidth="1"/>
    <col min="3848" max="3848" width="14" style="157" customWidth="1"/>
    <col min="3849" max="3849" width="2.140625" style="157" customWidth="1"/>
    <col min="3850" max="3850" width="15.42578125" style="157" customWidth="1"/>
    <col min="3851" max="4096" width="9.140625" style="157"/>
    <col min="4097" max="4097" width="13.85546875" style="157" customWidth="1"/>
    <col min="4098" max="4098" width="2.140625" style="157" customWidth="1"/>
    <col min="4099" max="4099" width="23.5703125" style="157" customWidth="1"/>
    <col min="4100" max="4100" width="26.85546875" style="157" customWidth="1"/>
    <col min="4101" max="4101" width="16.140625" style="157" customWidth="1"/>
    <col min="4102" max="4102" width="15.42578125" style="157" customWidth="1"/>
    <col min="4103" max="4103" width="2.140625" style="157" customWidth="1"/>
    <col min="4104" max="4104" width="14" style="157" customWidth="1"/>
    <col min="4105" max="4105" width="2.140625" style="157" customWidth="1"/>
    <col min="4106" max="4106" width="15.42578125" style="157" customWidth="1"/>
    <col min="4107" max="4352" width="9.140625" style="157"/>
    <col min="4353" max="4353" width="13.85546875" style="157" customWidth="1"/>
    <col min="4354" max="4354" width="2.140625" style="157" customWidth="1"/>
    <col min="4355" max="4355" width="23.5703125" style="157" customWidth="1"/>
    <col min="4356" max="4356" width="26.85546875" style="157" customWidth="1"/>
    <col min="4357" max="4357" width="16.140625" style="157" customWidth="1"/>
    <col min="4358" max="4358" width="15.42578125" style="157" customWidth="1"/>
    <col min="4359" max="4359" width="2.140625" style="157" customWidth="1"/>
    <col min="4360" max="4360" width="14" style="157" customWidth="1"/>
    <col min="4361" max="4361" width="2.140625" style="157" customWidth="1"/>
    <col min="4362" max="4362" width="15.42578125" style="157" customWidth="1"/>
    <col min="4363" max="4608" width="9.140625" style="157"/>
    <col min="4609" max="4609" width="13.85546875" style="157" customWidth="1"/>
    <col min="4610" max="4610" width="2.140625" style="157" customWidth="1"/>
    <col min="4611" max="4611" width="23.5703125" style="157" customWidth="1"/>
    <col min="4612" max="4612" width="26.85546875" style="157" customWidth="1"/>
    <col min="4613" max="4613" width="16.140625" style="157" customWidth="1"/>
    <col min="4614" max="4614" width="15.42578125" style="157" customWidth="1"/>
    <col min="4615" max="4615" width="2.140625" style="157" customWidth="1"/>
    <col min="4616" max="4616" width="14" style="157" customWidth="1"/>
    <col min="4617" max="4617" width="2.140625" style="157" customWidth="1"/>
    <col min="4618" max="4618" width="15.42578125" style="157" customWidth="1"/>
    <col min="4619" max="4864" width="9.140625" style="157"/>
    <col min="4865" max="4865" width="13.85546875" style="157" customWidth="1"/>
    <col min="4866" max="4866" width="2.140625" style="157" customWidth="1"/>
    <col min="4867" max="4867" width="23.5703125" style="157" customWidth="1"/>
    <col min="4868" max="4868" width="26.85546875" style="157" customWidth="1"/>
    <col min="4869" max="4869" width="16.140625" style="157" customWidth="1"/>
    <col min="4870" max="4870" width="15.42578125" style="157" customWidth="1"/>
    <col min="4871" max="4871" width="2.140625" style="157" customWidth="1"/>
    <col min="4872" max="4872" width="14" style="157" customWidth="1"/>
    <col min="4873" max="4873" width="2.140625" style="157" customWidth="1"/>
    <col min="4874" max="4874" width="15.42578125" style="157" customWidth="1"/>
    <col min="4875" max="5120" width="9.140625" style="157"/>
    <col min="5121" max="5121" width="13.85546875" style="157" customWidth="1"/>
    <col min="5122" max="5122" width="2.140625" style="157" customWidth="1"/>
    <col min="5123" max="5123" width="23.5703125" style="157" customWidth="1"/>
    <col min="5124" max="5124" width="26.85546875" style="157" customWidth="1"/>
    <col min="5125" max="5125" width="16.140625" style="157" customWidth="1"/>
    <col min="5126" max="5126" width="15.42578125" style="157" customWidth="1"/>
    <col min="5127" max="5127" width="2.140625" style="157" customWidth="1"/>
    <col min="5128" max="5128" width="14" style="157" customWidth="1"/>
    <col min="5129" max="5129" width="2.140625" style="157" customWidth="1"/>
    <col min="5130" max="5130" width="15.42578125" style="157" customWidth="1"/>
    <col min="5131" max="5376" width="9.140625" style="157"/>
    <col min="5377" max="5377" width="13.85546875" style="157" customWidth="1"/>
    <col min="5378" max="5378" width="2.140625" style="157" customWidth="1"/>
    <col min="5379" max="5379" width="23.5703125" style="157" customWidth="1"/>
    <col min="5380" max="5380" width="26.85546875" style="157" customWidth="1"/>
    <col min="5381" max="5381" width="16.140625" style="157" customWidth="1"/>
    <col min="5382" max="5382" width="15.42578125" style="157" customWidth="1"/>
    <col min="5383" max="5383" width="2.140625" style="157" customWidth="1"/>
    <col min="5384" max="5384" width="14" style="157" customWidth="1"/>
    <col min="5385" max="5385" width="2.140625" style="157" customWidth="1"/>
    <col min="5386" max="5386" width="15.42578125" style="157" customWidth="1"/>
    <col min="5387" max="5632" width="9.140625" style="157"/>
    <col min="5633" max="5633" width="13.85546875" style="157" customWidth="1"/>
    <col min="5634" max="5634" width="2.140625" style="157" customWidth="1"/>
    <col min="5635" max="5635" width="23.5703125" style="157" customWidth="1"/>
    <col min="5636" max="5636" width="26.85546875" style="157" customWidth="1"/>
    <col min="5637" max="5637" width="16.140625" style="157" customWidth="1"/>
    <col min="5638" max="5638" width="15.42578125" style="157" customWidth="1"/>
    <col min="5639" max="5639" width="2.140625" style="157" customWidth="1"/>
    <col min="5640" max="5640" width="14" style="157" customWidth="1"/>
    <col min="5641" max="5641" width="2.140625" style="157" customWidth="1"/>
    <col min="5642" max="5642" width="15.42578125" style="157" customWidth="1"/>
    <col min="5643" max="5888" width="9.140625" style="157"/>
    <col min="5889" max="5889" width="13.85546875" style="157" customWidth="1"/>
    <col min="5890" max="5890" width="2.140625" style="157" customWidth="1"/>
    <col min="5891" max="5891" width="23.5703125" style="157" customWidth="1"/>
    <col min="5892" max="5892" width="26.85546875" style="157" customWidth="1"/>
    <col min="5893" max="5893" width="16.140625" style="157" customWidth="1"/>
    <col min="5894" max="5894" width="15.42578125" style="157" customWidth="1"/>
    <col min="5895" max="5895" width="2.140625" style="157" customWidth="1"/>
    <col min="5896" max="5896" width="14" style="157" customWidth="1"/>
    <col min="5897" max="5897" width="2.140625" style="157" customWidth="1"/>
    <col min="5898" max="5898" width="15.42578125" style="157" customWidth="1"/>
    <col min="5899" max="6144" width="9.140625" style="157"/>
    <col min="6145" max="6145" width="13.85546875" style="157" customWidth="1"/>
    <col min="6146" max="6146" width="2.140625" style="157" customWidth="1"/>
    <col min="6147" max="6147" width="23.5703125" style="157" customWidth="1"/>
    <col min="6148" max="6148" width="26.85546875" style="157" customWidth="1"/>
    <col min="6149" max="6149" width="16.140625" style="157" customWidth="1"/>
    <col min="6150" max="6150" width="15.42578125" style="157" customWidth="1"/>
    <col min="6151" max="6151" width="2.140625" style="157" customWidth="1"/>
    <col min="6152" max="6152" width="14" style="157" customWidth="1"/>
    <col min="6153" max="6153" width="2.140625" style="157" customWidth="1"/>
    <col min="6154" max="6154" width="15.42578125" style="157" customWidth="1"/>
    <col min="6155" max="6400" width="9.140625" style="157"/>
    <col min="6401" max="6401" width="13.85546875" style="157" customWidth="1"/>
    <col min="6402" max="6402" width="2.140625" style="157" customWidth="1"/>
    <col min="6403" max="6403" width="23.5703125" style="157" customWidth="1"/>
    <col min="6404" max="6404" width="26.85546875" style="157" customWidth="1"/>
    <col min="6405" max="6405" width="16.140625" style="157" customWidth="1"/>
    <col min="6406" max="6406" width="15.42578125" style="157" customWidth="1"/>
    <col min="6407" max="6407" width="2.140625" style="157" customWidth="1"/>
    <col min="6408" max="6408" width="14" style="157" customWidth="1"/>
    <col min="6409" max="6409" width="2.140625" style="157" customWidth="1"/>
    <col min="6410" max="6410" width="15.42578125" style="157" customWidth="1"/>
    <col min="6411" max="6656" width="9.140625" style="157"/>
    <col min="6657" max="6657" width="13.85546875" style="157" customWidth="1"/>
    <col min="6658" max="6658" width="2.140625" style="157" customWidth="1"/>
    <col min="6659" max="6659" width="23.5703125" style="157" customWidth="1"/>
    <col min="6660" max="6660" width="26.85546875" style="157" customWidth="1"/>
    <col min="6661" max="6661" width="16.140625" style="157" customWidth="1"/>
    <col min="6662" max="6662" width="15.42578125" style="157" customWidth="1"/>
    <col min="6663" max="6663" width="2.140625" style="157" customWidth="1"/>
    <col min="6664" max="6664" width="14" style="157" customWidth="1"/>
    <col min="6665" max="6665" width="2.140625" style="157" customWidth="1"/>
    <col min="6666" max="6666" width="15.42578125" style="157" customWidth="1"/>
    <col min="6667" max="6912" width="9.140625" style="157"/>
    <col min="6913" max="6913" width="13.85546875" style="157" customWidth="1"/>
    <col min="6914" max="6914" width="2.140625" style="157" customWidth="1"/>
    <col min="6915" max="6915" width="23.5703125" style="157" customWidth="1"/>
    <col min="6916" max="6916" width="26.85546875" style="157" customWidth="1"/>
    <col min="6917" max="6917" width="16.140625" style="157" customWidth="1"/>
    <col min="6918" max="6918" width="15.42578125" style="157" customWidth="1"/>
    <col min="6919" max="6919" width="2.140625" style="157" customWidth="1"/>
    <col min="6920" max="6920" width="14" style="157" customWidth="1"/>
    <col min="6921" max="6921" width="2.140625" style="157" customWidth="1"/>
    <col min="6922" max="6922" width="15.42578125" style="157" customWidth="1"/>
    <col min="6923" max="7168" width="9.140625" style="157"/>
    <col min="7169" max="7169" width="13.85546875" style="157" customWidth="1"/>
    <col min="7170" max="7170" width="2.140625" style="157" customWidth="1"/>
    <col min="7171" max="7171" width="23.5703125" style="157" customWidth="1"/>
    <col min="7172" max="7172" width="26.85546875" style="157" customWidth="1"/>
    <col min="7173" max="7173" width="16.140625" style="157" customWidth="1"/>
    <col min="7174" max="7174" width="15.42578125" style="157" customWidth="1"/>
    <col min="7175" max="7175" width="2.140625" style="157" customWidth="1"/>
    <col min="7176" max="7176" width="14" style="157" customWidth="1"/>
    <col min="7177" max="7177" width="2.140625" style="157" customWidth="1"/>
    <col min="7178" max="7178" width="15.42578125" style="157" customWidth="1"/>
    <col min="7179" max="7424" width="9.140625" style="157"/>
    <col min="7425" max="7425" width="13.85546875" style="157" customWidth="1"/>
    <col min="7426" max="7426" width="2.140625" style="157" customWidth="1"/>
    <col min="7427" max="7427" width="23.5703125" style="157" customWidth="1"/>
    <col min="7428" max="7428" width="26.85546875" style="157" customWidth="1"/>
    <col min="7429" max="7429" width="16.140625" style="157" customWidth="1"/>
    <col min="7430" max="7430" width="15.42578125" style="157" customWidth="1"/>
    <col min="7431" max="7431" width="2.140625" style="157" customWidth="1"/>
    <col min="7432" max="7432" width="14" style="157" customWidth="1"/>
    <col min="7433" max="7433" width="2.140625" style="157" customWidth="1"/>
    <col min="7434" max="7434" width="15.42578125" style="157" customWidth="1"/>
    <col min="7435" max="7680" width="9.140625" style="157"/>
    <col min="7681" max="7681" width="13.85546875" style="157" customWidth="1"/>
    <col min="7682" max="7682" width="2.140625" style="157" customWidth="1"/>
    <col min="7683" max="7683" width="23.5703125" style="157" customWidth="1"/>
    <col min="7684" max="7684" width="26.85546875" style="157" customWidth="1"/>
    <col min="7685" max="7685" width="16.140625" style="157" customWidth="1"/>
    <col min="7686" max="7686" width="15.42578125" style="157" customWidth="1"/>
    <col min="7687" max="7687" width="2.140625" style="157" customWidth="1"/>
    <col min="7688" max="7688" width="14" style="157" customWidth="1"/>
    <col min="7689" max="7689" width="2.140625" style="157" customWidth="1"/>
    <col min="7690" max="7690" width="15.42578125" style="157" customWidth="1"/>
    <col min="7691" max="7936" width="9.140625" style="157"/>
    <col min="7937" max="7937" width="13.85546875" style="157" customWidth="1"/>
    <col min="7938" max="7938" width="2.140625" style="157" customWidth="1"/>
    <col min="7939" max="7939" width="23.5703125" style="157" customWidth="1"/>
    <col min="7940" max="7940" width="26.85546875" style="157" customWidth="1"/>
    <col min="7941" max="7941" width="16.140625" style="157" customWidth="1"/>
    <col min="7942" max="7942" width="15.42578125" style="157" customWidth="1"/>
    <col min="7943" max="7943" width="2.140625" style="157" customWidth="1"/>
    <col min="7944" max="7944" width="14" style="157" customWidth="1"/>
    <col min="7945" max="7945" width="2.140625" style="157" customWidth="1"/>
    <col min="7946" max="7946" width="15.42578125" style="157" customWidth="1"/>
    <col min="7947" max="8192" width="9.140625" style="157"/>
    <col min="8193" max="8193" width="13.85546875" style="157" customWidth="1"/>
    <col min="8194" max="8194" width="2.140625" style="157" customWidth="1"/>
    <col min="8195" max="8195" width="23.5703125" style="157" customWidth="1"/>
    <col min="8196" max="8196" width="26.85546875" style="157" customWidth="1"/>
    <col min="8197" max="8197" width="16.140625" style="157" customWidth="1"/>
    <col min="8198" max="8198" width="15.42578125" style="157" customWidth="1"/>
    <col min="8199" max="8199" width="2.140625" style="157" customWidth="1"/>
    <col min="8200" max="8200" width="14" style="157" customWidth="1"/>
    <col min="8201" max="8201" width="2.140625" style="157" customWidth="1"/>
    <col min="8202" max="8202" width="15.42578125" style="157" customWidth="1"/>
    <col min="8203" max="8448" width="9.140625" style="157"/>
    <col min="8449" max="8449" width="13.85546875" style="157" customWidth="1"/>
    <col min="8450" max="8450" width="2.140625" style="157" customWidth="1"/>
    <col min="8451" max="8451" width="23.5703125" style="157" customWidth="1"/>
    <col min="8452" max="8452" width="26.85546875" style="157" customWidth="1"/>
    <col min="8453" max="8453" width="16.140625" style="157" customWidth="1"/>
    <col min="8454" max="8454" width="15.42578125" style="157" customWidth="1"/>
    <col min="8455" max="8455" width="2.140625" style="157" customWidth="1"/>
    <col min="8456" max="8456" width="14" style="157" customWidth="1"/>
    <col min="8457" max="8457" width="2.140625" style="157" customWidth="1"/>
    <col min="8458" max="8458" width="15.42578125" style="157" customWidth="1"/>
    <col min="8459" max="8704" width="9.140625" style="157"/>
    <col min="8705" max="8705" width="13.85546875" style="157" customWidth="1"/>
    <col min="8706" max="8706" width="2.140625" style="157" customWidth="1"/>
    <col min="8707" max="8707" width="23.5703125" style="157" customWidth="1"/>
    <col min="8708" max="8708" width="26.85546875" style="157" customWidth="1"/>
    <col min="8709" max="8709" width="16.140625" style="157" customWidth="1"/>
    <col min="8710" max="8710" width="15.42578125" style="157" customWidth="1"/>
    <col min="8711" max="8711" width="2.140625" style="157" customWidth="1"/>
    <col min="8712" max="8712" width="14" style="157" customWidth="1"/>
    <col min="8713" max="8713" width="2.140625" style="157" customWidth="1"/>
    <col min="8714" max="8714" width="15.42578125" style="157" customWidth="1"/>
    <col min="8715" max="8960" width="9.140625" style="157"/>
    <col min="8961" max="8961" width="13.85546875" style="157" customWidth="1"/>
    <col min="8962" max="8962" width="2.140625" style="157" customWidth="1"/>
    <col min="8963" max="8963" width="23.5703125" style="157" customWidth="1"/>
    <col min="8964" max="8964" width="26.85546875" style="157" customWidth="1"/>
    <col min="8965" max="8965" width="16.140625" style="157" customWidth="1"/>
    <col min="8966" max="8966" width="15.42578125" style="157" customWidth="1"/>
    <col min="8967" max="8967" width="2.140625" style="157" customWidth="1"/>
    <col min="8968" max="8968" width="14" style="157" customWidth="1"/>
    <col min="8969" max="8969" width="2.140625" style="157" customWidth="1"/>
    <col min="8970" max="8970" width="15.42578125" style="157" customWidth="1"/>
    <col min="8971" max="9216" width="9.140625" style="157"/>
    <col min="9217" max="9217" width="13.85546875" style="157" customWidth="1"/>
    <col min="9218" max="9218" width="2.140625" style="157" customWidth="1"/>
    <col min="9219" max="9219" width="23.5703125" style="157" customWidth="1"/>
    <col min="9220" max="9220" width="26.85546875" style="157" customWidth="1"/>
    <col min="9221" max="9221" width="16.140625" style="157" customWidth="1"/>
    <col min="9222" max="9222" width="15.42578125" style="157" customWidth="1"/>
    <col min="9223" max="9223" width="2.140625" style="157" customWidth="1"/>
    <col min="9224" max="9224" width="14" style="157" customWidth="1"/>
    <col min="9225" max="9225" width="2.140625" style="157" customWidth="1"/>
    <col min="9226" max="9226" width="15.42578125" style="157" customWidth="1"/>
    <col min="9227" max="9472" width="9.140625" style="157"/>
    <col min="9473" max="9473" width="13.85546875" style="157" customWidth="1"/>
    <col min="9474" max="9474" width="2.140625" style="157" customWidth="1"/>
    <col min="9475" max="9475" width="23.5703125" style="157" customWidth="1"/>
    <col min="9476" max="9476" width="26.85546875" style="157" customWidth="1"/>
    <col min="9477" max="9477" width="16.140625" style="157" customWidth="1"/>
    <col min="9478" max="9478" width="15.42578125" style="157" customWidth="1"/>
    <col min="9479" max="9479" width="2.140625" style="157" customWidth="1"/>
    <col min="9480" max="9480" width="14" style="157" customWidth="1"/>
    <col min="9481" max="9481" width="2.140625" style="157" customWidth="1"/>
    <col min="9482" max="9482" width="15.42578125" style="157" customWidth="1"/>
    <col min="9483" max="9728" width="9.140625" style="157"/>
    <col min="9729" max="9729" width="13.85546875" style="157" customWidth="1"/>
    <col min="9730" max="9730" width="2.140625" style="157" customWidth="1"/>
    <col min="9731" max="9731" width="23.5703125" style="157" customWidth="1"/>
    <col min="9732" max="9732" width="26.85546875" style="157" customWidth="1"/>
    <col min="9733" max="9733" width="16.140625" style="157" customWidth="1"/>
    <col min="9734" max="9734" width="15.42578125" style="157" customWidth="1"/>
    <col min="9735" max="9735" width="2.140625" style="157" customWidth="1"/>
    <col min="9736" max="9736" width="14" style="157" customWidth="1"/>
    <col min="9737" max="9737" width="2.140625" style="157" customWidth="1"/>
    <col min="9738" max="9738" width="15.42578125" style="157" customWidth="1"/>
    <col min="9739" max="9984" width="9.140625" style="157"/>
    <col min="9985" max="9985" width="13.85546875" style="157" customWidth="1"/>
    <col min="9986" max="9986" width="2.140625" style="157" customWidth="1"/>
    <col min="9987" max="9987" width="23.5703125" style="157" customWidth="1"/>
    <col min="9988" max="9988" width="26.85546875" style="157" customWidth="1"/>
    <col min="9989" max="9989" width="16.140625" style="157" customWidth="1"/>
    <col min="9990" max="9990" width="15.42578125" style="157" customWidth="1"/>
    <col min="9991" max="9991" width="2.140625" style="157" customWidth="1"/>
    <col min="9992" max="9992" width="14" style="157" customWidth="1"/>
    <col min="9993" max="9993" width="2.140625" style="157" customWidth="1"/>
    <col min="9994" max="9994" width="15.42578125" style="157" customWidth="1"/>
    <col min="9995" max="10240" width="9.140625" style="157"/>
    <col min="10241" max="10241" width="13.85546875" style="157" customWidth="1"/>
    <col min="10242" max="10242" width="2.140625" style="157" customWidth="1"/>
    <col min="10243" max="10243" width="23.5703125" style="157" customWidth="1"/>
    <col min="10244" max="10244" width="26.85546875" style="157" customWidth="1"/>
    <col min="10245" max="10245" width="16.140625" style="157" customWidth="1"/>
    <col min="10246" max="10246" width="15.42578125" style="157" customWidth="1"/>
    <col min="10247" max="10247" width="2.140625" style="157" customWidth="1"/>
    <col min="10248" max="10248" width="14" style="157" customWidth="1"/>
    <col min="10249" max="10249" width="2.140625" style="157" customWidth="1"/>
    <col min="10250" max="10250" width="15.42578125" style="157" customWidth="1"/>
    <col min="10251" max="10496" width="9.140625" style="157"/>
    <col min="10497" max="10497" width="13.85546875" style="157" customWidth="1"/>
    <col min="10498" max="10498" width="2.140625" style="157" customWidth="1"/>
    <col min="10499" max="10499" width="23.5703125" style="157" customWidth="1"/>
    <col min="10500" max="10500" width="26.85546875" style="157" customWidth="1"/>
    <col min="10501" max="10501" width="16.140625" style="157" customWidth="1"/>
    <col min="10502" max="10502" width="15.42578125" style="157" customWidth="1"/>
    <col min="10503" max="10503" width="2.140625" style="157" customWidth="1"/>
    <col min="10504" max="10504" width="14" style="157" customWidth="1"/>
    <col min="10505" max="10505" width="2.140625" style="157" customWidth="1"/>
    <col min="10506" max="10506" width="15.42578125" style="157" customWidth="1"/>
    <col min="10507" max="10752" width="9.140625" style="157"/>
    <col min="10753" max="10753" width="13.85546875" style="157" customWidth="1"/>
    <col min="10754" max="10754" width="2.140625" style="157" customWidth="1"/>
    <col min="10755" max="10755" width="23.5703125" style="157" customWidth="1"/>
    <col min="10756" max="10756" width="26.85546875" style="157" customWidth="1"/>
    <col min="10757" max="10757" width="16.140625" style="157" customWidth="1"/>
    <col min="10758" max="10758" width="15.42578125" style="157" customWidth="1"/>
    <col min="10759" max="10759" width="2.140625" style="157" customWidth="1"/>
    <col min="10760" max="10760" width="14" style="157" customWidth="1"/>
    <col min="10761" max="10761" width="2.140625" style="157" customWidth="1"/>
    <col min="10762" max="10762" width="15.42578125" style="157" customWidth="1"/>
    <col min="10763" max="11008" width="9.140625" style="157"/>
    <col min="11009" max="11009" width="13.85546875" style="157" customWidth="1"/>
    <col min="11010" max="11010" width="2.140625" style="157" customWidth="1"/>
    <col min="11011" max="11011" width="23.5703125" style="157" customWidth="1"/>
    <col min="11012" max="11012" width="26.85546875" style="157" customWidth="1"/>
    <col min="11013" max="11013" width="16.140625" style="157" customWidth="1"/>
    <col min="11014" max="11014" width="15.42578125" style="157" customWidth="1"/>
    <col min="11015" max="11015" width="2.140625" style="157" customWidth="1"/>
    <col min="11016" max="11016" width="14" style="157" customWidth="1"/>
    <col min="11017" max="11017" width="2.140625" style="157" customWidth="1"/>
    <col min="11018" max="11018" width="15.42578125" style="157" customWidth="1"/>
    <col min="11019" max="11264" width="9.140625" style="157"/>
    <col min="11265" max="11265" width="13.85546875" style="157" customWidth="1"/>
    <col min="11266" max="11266" width="2.140625" style="157" customWidth="1"/>
    <col min="11267" max="11267" width="23.5703125" style="157" customWidth="1"/>
    <col min="11268" max="11268" width="26.85546875" style="157" customWidth="1"/>
    <col min="11269" max="11269" width="16.140625" style="157" customWidth="1"/>
    <col min="11270" max="11270" width="15.42578125" style="157" customWidth="1"/>
    <col min="11271" max="11271" width="2.140625" style="157" customWidth="1"/>
    <col min="11272" max="11272" width="14" style="157" customWidth="1"/>
    <col min="11273" max="11273" width="2.140625" style="157" customWidth="1"/>
    <col min="11274" max="11274" width="15.42578125" style="157" customWidth="1"/>
    <col min="11275" max="11520" width="9.140625" style="157"/>
    <col min="11521" max="11521" width="13.85546875" style="157" customWidth="1"/>
    <col min="11522" max="11522" width="2.140625" style="157" customWidth="1"/>
    <col min="11523" max="11523" width="23.5703125" style="157" customWidth="1"/>
    <col min="11524" max="11524" width="26.85546875" style="157" customWidth="1"/>
    <col min="11525" max="11525" width="16.140625" style="157" customWidth="1"/>
    <col min="11526" max="11526" width="15.42578125" style="157" customWidth="1"/>
    <col min="11527" max="11527" width="2.140625" style="157" customWidth="1"/>
    <col min="11528" max="11528" width="14" style="157" customWidth="1"/>
    <col min="11529" max="11529" width="2.140625" style="157" customWidth="1"/>
    <col min="11530" max="11530" width="15.42578125" style="157" customWidth="1"/>
    <col min="11531" max="11776" width="9.140625" style="157"/>
    <col min="11777" max="11777" width="13.85546875" style="157" customWidth="1"/>
    <col min="11778" max="11778" width="2.140625" style="157" customWidth="1"/>
    <col min="11779" max="11779" width="23.5703125" style="157" customWidth="1"/>
    <col min="11780" max="11780" width="26.85546875" style="157" customWidth="1"/>
    <col min="11781" max="11781" width="16.140625" style="157" customWidth="1"/>
    <col min="11782" max="11782" width="15.42578125" style="157" customWidth="1"/>
    <col min="11783" max="11783" width="2.140625" style="157" customWidth="1"/>
    <col min="11784" max="11784" width="14" style="157" customWidth="1"/>
    <col min="11785" max="11785" width="2.140625" style="157" customWidth="1"/>
    <col min="11786" max="11786" width="15.42578125" style="157" customWidth="1"/>
    <col min="11787" max="12032" width="9.140625" style="157"/>
    <col min="12033" max="12033" width="13.85546875" style="157" customWidth="1"/>
    <col min="12034" max="12034" width="2.140625" style="157" customWidth="1"/>
    <col min="12035" max="12035" width="23.5703125" style="157" customWidth="1"/>
    <col min="12036" max="12036" width="26.85546875" style="157" customWidth="1"/>
    <col min="12037" max="12037" width="16.140625" style="157" customWidth="1"/>
    <col min="12038" max="12038" width="15.42578125" style="157" customWidth="1"/>
    <col min="12039" max="12039" width="2.140625" style="157" customWidth="1"/>
    <col min="12040" max="12040" width="14" style="157" customWidth="1"/>
    <col min="12041" max="12041" width="2.140625" style="157" customWidth="1"/>
    <col min="12042" max="12042" width="15.42578125" style="157" customWidth="1"/>
    <col min="12043" max="12288" width="9.140625" style="157"/>
    <col min="12289" max="12289" width="13.85546875" style="157" customWidth="1"/>
    <col min="12290" max="12290" width="2.140625" style="157" customWidth="1"/>
    <col min="12291" max="12291" width="23.5703125" style="157" customWidth="1"/>
    <col min="12292" max="12292" width="26.85546875" style="157" customWidth="1"/>
    <col min="12293" max="12293" width="16.140625" style="157" customWidth="1"/>
    <col min="12294" max="12294" width="15.42578125" style="157" customWidth="1"/>
    <col min="12295" max="12295" width="2.140625" style="157" customWidth="1"/>
    <col min="12296" max="12296" width="14" style="157" customWidth="1"/>
    <col min="12297" max="12297" width="2.140625" style="157" customWidth="1"/>
    <col min="12298" max="12298" width="15.42578125" style="157" customWidth="1"/>
    <col min="12299" max="12544" width="9.140625" style="157"/>
    <col min="12545" max="12545" width="13.85546875" style="157" customWidth="1"/>
    <col min="12546" max="12546" width="2.140625" style="157" customWidth="1"/>
    <col min="12547" max="12547" width="23.5703125" style="157" customWidth="1"/>
    <col min="12548" max="12548" width="26.85546875" style="157" customWidth="1"/>
    <col min="12549" max="12549" width="16.140625" style="157" customWidth="1"/>
    <col min="12550" max="12550" width="15.42578125" style="157" customWidth="1"/>
    <col min="12551" max="12551" width="2.140625" style="157" customWidth="1"/>
    <col min="12552" max="12552" width="14" style="157" customWidth="1"/>
    <col min="12553" max="12553" width="2.140625" style="157" customWidth="1"/>
    <col min="12554" max="12554" width="15.42578125" style="157" customWidth="1"/>
    <col min="12555" max="12800" width="9.140625" style="157"/>
    <col min="12801" max="12801" width="13.85546875" style="157" customWidth="1"/>
    <col min="12802" max="12802" width="2.140625" style="157" customWidth="1"/>
    <col min="12803" max="12803" width="23.5703125" style="157" customWidth="1"/>
    <col min="12804" max="12804" width="26.85546875" style="157" customWidth="1"/>
    <col min="12805" max="12805" width="16.140625" style="157" customWidth="1"/>
    <col min="12806" max="12806" width="15.42578125" style="157" customWidth="1"/>
    <col min="12807" max="12807" width="2.140625" style="157" customWidth="1"/>
    <col min="12808" max="12808" width="14" style="157" customWidth="1"/>
    <col min="12809" max="12809" width="2.140625" style="157" customWidth="1"/>
    <col min="12810" max="12810" width="15.42578125" style="157" customWidth="1"/>
    <col min="12811" max="13056" width="9.140625" style="157"/>
    <col min="13057" max="13057" width="13.85546875" style="157" customWidth="1"/>
    <col min="13058" max="13058" width="2.140625" style="157" customWidth="1"/>
    <col min="13059" max="13059" width="23.5703125" style="157" customWidth="1"/>
    <col min="13060" max="13060" width="26.85546875" style="157" customWidth="1"/>
    <col min="13061" max="13061" width="16.140625" style="157" customWidth="1"/>
    <col min="13062" max="13062" width="15.42578125" style="157" customWidth="1"/>
    <col min="13063" max="13063" width="2.140625" style="157" customWidth="1"/>
    <col min="13064" max="13064" width="14" style="157" customWidth="1"/>
    <col min="13065" max="13065" width="2.140625" style="157" customWidth="1"/>
    <col min="13066" max="13066" width="15.42578125" style="157" customWidth="1"/>
    <col min="13067" max="13312" width="9.140625" style="157"/>
    <col min="13313" max="13313" width="13.85546875" style="157" customWidth="1"/>
    <col min="13314" max="13314" width="2.140625" style="157" customWidth="1"/>
    <col min="13315" max="13315" width="23.5703125" style="157" customWidth="1"/>
    <col min="13316" max="13316" width="26.85546875" style="157" customWidth="1"/>
    <col min="13317" max="13317" width="16.140625" style="157" customWidth="1"/>
    <col min="13318" max="13318" width="15.42578125" style="157" customWidth="1"/>
    <col min="13319" max="13319" width="2.140625" style="157" customWidth="1"/>
    <col min="13320" max="13320" width="14" style="157" customWidth="1"/>
    <col min="13321" max="13321" width="2.140625" style="157" customWidth="1"/>
    <col min="13322" max="13322" width="15.42578125" style="157" customWidth="1"/>
    <col min="13323" max="13568" width="9.140625" style="157"/>
    <col min="13569" max="13569" width="13.85546875" style="157" customWidth="1"/>
    <col min="13570" max="13570" width="2.140625" style="157" customWidth="1"/>
    <col min="13571" max="13571" width="23.5703125" style="157" customWidth="1"/>
    <col min="13572" max="13572" width="26.85546875" style="157" customWidth="1"/>
    <col min="13573" max="13573" width="16.140625" style="157" customWidth="1"/>
    <col min="13574" max="13574" width="15.42578125" style="157" customWidth="1"/>
    <col min="13575" max="13575" width="2.140625" style="157" customWidth="1"/>
    <col min="13576" max="13576" width="14" style="157" customWidth="1"/>
    <col min="13577" max="13577" width="2.140625" style="157" customWidth="1"/>
    <col min="13578" max="13578" width="15.42578125" style="157" customWidth="1"/>
    <col min="13579" max="13824" width="9.140625" style="157"/>
    <col min="13825" max="13825" width="13.85546875" style="157" customWidth="1"/>
    <col min="13826" max="13826" width="2.140625" style="157" customWidth="1"/>
    <col min="13827" max="13827" width="23.5703125" style="157" customWidth="1"/>
    <col min="13828" max="13828" width="26.85546875" style="157" customWidth="1"/>
    <col min="13829" max="13829" width="16.140625" style="157" customWidth="1"/>
    <col min="13830" max="13830" width="15.42578125" style="157" customWidth="1"/>
    <col min="13831" max="13831" width="2.140625" style="157" customWidth="1"/>
    <col min="13832" max="13832" width="14" style="157" customWidth="1"/>
    <col min="13833" max="13833" width="2.140625" style="157" customWidth="1"/>
    <col min="13834" max="13834" width="15.42578125" style="157" customWidth="1"/>
    <col min="13835" max="14080" width="9.140625" style="157"/>
    <col min="14081" max="14081" width="13.85546875" style="157" customWidth="1"/>
    <col min="14082" max="14082" width="2.140625" style="157" customWidth="1"/>
    <col min="14083" max="14083" width="23.5703125" style="157" customWidth="1"/>
    <col min="14084" max="14084" width="26.85546875" style="157" customWidth="1"/>
    <col min="14085" max="14085" width="16.140625" style="157" customWidth="1"/>
    <col min="14086" max="14086" width="15.42578125" style="157" customWidth="1"/>
    <col min="14087" max="14087" width="2.140625" style="157" customWidth="1"/>
    <col min="14088" max="14088" width="14" style="157" customWidth="1"/>
    <col min="14089" max="14089" width="2.140625" style="157" customWidth="1"/>
    <col min="14090" max="14090" width="15.42578125" style="157" customWidth="1"/>
    <col min="14091" max="14336" width="9.140625" style="157"/>
    <col min="14337" max="14337" width="13.85546875" style="157" customWidth="1"/>
    <col min="14338" max="14338" width="2.140625" style="157" customWidth="1"/>
    <col min="14339" max="14339" width="23.5703125" style="157" customWidth="1"/>
    <col min="14340" max="14340" width="26.85546875" style="157" customWidth="1"/>
    <col min="14341" max="14341" width="16.140625" style="157" customWidth="1"/>
    <col min="14342" max="14342" width="15.42578125" style="157" customWidth="1"/>
    <col min="14343" max="14343" width="2.140625" style="157" customWidth="1"/>
    <col min="14344" max="14344" width="14" style="157" customWidth="1"/>
    <col min="14345" max="14345" width="2.140625" style="157" customWidth="1"/>
    <col min="14346" max="14346" width="15.42578125" style="157" customWidth="1"/>
    <col min="14347" max="14592" width="9.140625" style="157"/>
    <col min="14593" max="14593" width="13.85546875" style="157" customWidth="1"/>
    <col min="14594" max="14594" width="2.140625" style="157" customWidth="1"/>
    <col min="14595" max="14595" width="23.5703125" style="157" customWidth="1"/>
    <col min="14596" max="14596" width="26.85546875" style="157" customWidth="1"/>
    <col min="14597" max="14597" width="16.140625" style="157" customWidth="1"/>
    <col min="14598" max="14598" width="15.42578125" style="157" customWidth="1"/>
    <col min="14599" max="14599" width="2.140625" style="157" customWidth="1"/>
    <col min="14600" max="14600" width="14" style="157" customWidth="1"/>
    <col min="14601" max="14601" width="2.140625" style="157" customWidth="1"/>
    <col min="14602" max="14602" width="15.42578125" style="157" customWidth="1"/>
    <col min="14603" max="14848" width="9.140625" style="157"/>
    <col min="14849" max="14849" width="13.85546875" style="157" customWidth="1"/>
    <col min="14850" max="14850" width="2.140625" style="157" customWidth="1"/>
    <col min="14851" max="14851" width="23.5703125" style="157" customWidth="1"/>
    <col min="14852" max="14852" width="26.85546875" style="157" customWidth="1"/>
    <col min="14853" max="14853" width="16.140625" style="157" customWidth="1"/>
    <col min="14854" max="14854" width="15.42578125" style="157" customWidth="1"/>
    <col min="14855" max="14855" width="2.140625" style="157" customWidth="1"/>
    <col min="14856" max="14856" width="14" style="157" customWidth="1"/>
    <col min="14857" max="14857" width="2.140625" style="157" customWidth="1"/>
    <col min="14858" max="14858" width="15.42578125" style="157" customWidth="1"/>
    <col min="14859" max="15104" width="9.140625" style="157"/>
    <col min="15105" max="15105" width="13.85546875" style="157" customWidth="1"/>
    <col min="15106" max="15106" width="2.140625" style="157" customWidth="1"/>
    <col min="15107" max="15107" width="23.5703125" style="157" customWidth="1"/>
    <col min="15108" max="15108" width="26.85546875" style="157" customWidth="1"/>
    <col min="15109" max="15109" width="16.140625" style="157" customWidth="1"/>
    <col min="15110" max="15110" width="15.42578125" style="157" customWidth="1"/>
    <col min="15111" max="15111" width="2.140625" style="157" customWidth="1"/>
    <col min="15112" max="15112" width="14" style="157" customWidth="1"/>
    <col min="15113" max="15113" width="2.140625" style="157" customWidth="1"/>
    <col min="15114" max="15114" width="15.42578125" style="157" customWidth="1"/>
    <col min="15115" max="15360" width="9.140625" style="157"/>
    <col min="15361" max="15361" width="13.85546875" style="157" customWidth="1"/>
    <col min="15362" max="15362" width="2.140625" style="157" customWidth="1"/>
    <col min="15363" max="15363" width="23.5703125" style="157" customWidth="1"/>
    <col min="15364" max="15364" width="26.85546875" style="157" customWidth="1"/>
    <col min="15365" max="15365" width="16.140625" style="157" customWidth="1"/>
    <col min="15366" max="15366" width="15.42578125" style="157" customWidth="1"/>
    <col min="15367" max="15367" width="2.140625" style="157" customWidth="1"/>
    <col min="15368" max="15368" width="14" style="157" customWidth="1"/>
    <col min="15369" max="15369" width="2.140625" style="157" customWidth="1"/>
    <col min="15370" max="15370" width="15.42578125" style="157" customWidth="1"/>
    <col min="15371" max="15616" width="9.140625" style="157"/>
    <col min="15617" max="15617" width="13.85546875" style="157" customWidth="1"/>
    <col min="15618" max="15618" width="2.140625" style="157" customWidth="1"/>
    <col min="15619" max="15619" width="23.5703125" style="157" customWidth="1"/>
    <col min="15620" max="15620" width="26.85546875" style="157" customWidth="1"/>
    <col min="15621" max="15621" width="16.140625" style="157" customWidth="1"/>
    <col min="15622" max="15622" width="15.42578125" style="157" customWidth="1"/>
    <col min="15623" max="15623" width="2.140625" style="157" customWidth="1"/>
    <col min="15624" max="15624" width="14" style="157" customWidth="1"/>
    <col min="15625" max="15625" width="2.140625" style="157" customWidth="1"/>
    <col min="15626" max="15626" width="15.42578125" style="157" customWidth="1"/>
    <col min="15627" max="15872" width="9.140625" style="157"/>
    <col min="15873" max="15873" width="13.85546875" style="157" customWidth="1"/>
    <col min="15874" max="15874" width="2.140625" style="157" customWidth="1"/>
    <col min="15875" max="15875" width="23.5703125" style="157" customWidth="1"/>
    <col min="15876" max="15876" width="26.85546875" style="157" customWidth="1"/>
    <col min="15877" max="15877" width="16.140625" style="157" customWidth="1"/>
    <col min="15878" max="15878" width="15.42578125" style="157" customWidth="1"/>
    <col min="15879" max="15879" width="2.140625" style="157" customWidth="1"/>
    <col min="15880" max="15880" width="14" style="157" customWidth="1"/>
    <col min="15881" max="15881" width="2.140625" style="157" customWidth="1"/>
    <col min="15882" max="15882" width="15.42578125" style="157" customWidth="1"/>
    <col min="15883" max="16128" width="9.140625" style="157"/>
    <col min="16129" max="16129" width="13.85546875" style="157" customWidth="1"/>
    <col min="16130" max="16130" width="2.140625" style="157" customWidth="1"/>
    <col min="16131" max="16131" width="23.5703125" style="157" customWidth="1"/>
    <col min="16132" max="16132" width="26.85546875" style="157" customWidth="1"/>
    <col min="16133" max="16133" width="16.140625" style="157" customWidth="1"/>
    <col min="16134" max="16134" width="15.42578125" style="157" customWidth="1"/>
    <col min="16135" max="16135" width="2.140625" style="157" customWidth="1"/>
    <col min="16136" max="16136" width="14" style="157" customWidth="1"/>
    <col min="16137" max="16137" width="2.140625" style="157" customWidth="1"/>
    <col min="16138" max="16138" width="15.42578125" style="157" customWidth="1"/>
    <col min="16139" max="16384" width="9.140625" style="157"/>
  </cols>
  <sheetData>
    <row r="1" spans="1:11" ht="20.100000000000001" customHeight="1" x14ac:dyDescent="0.2">
      <c r="A1" s="159" t="s">
        <v>1424</v>
      </c>
      <c r="J1" s="100" t="s">
        <v>1738</v>
      </c>
    </row>
    <row r="2" spans="1:11" ht="15.95" customHeight="1" x14ac:dyDescent="0.2">
      <c r="A2" s="156" t="s">
        <v>1739</v>
      </c>
      <c r="C2" s="156" t="s">
        <v>0</v>
      </c>
      <c r="J2" s="27" t="s">
        <v>1740</v>
      </c>
    </row>
    <row r="3" spans="1:11" ht="14.1" customHeight="1" x14ac:dyDescent="0.2">
      <c r="A3" s="101" t="s">
        <v>1741</v>
      </c>
      <c r="J3" s="27" t="s">
        <v>1802</v>
      </c>
    </row>
    <row r="4" spans="1:11" ht="15" customHeight="1" x14ac:dyDescent="0.2">
      <c r="A4" s="101" t="s">
        <v>1877</v>
      </c>
    </row>
    <row r="5" spans="1:11" ht="23.1" customHeight="1" x14ac:dyDescent="0.2">
      <c r="A5" s="23" t="s">
        <v>55</v>
      </c>
      <c r="B5" s="23" t="s">
        <v>56</v>
      </c>
      <c r="E5" s="24" t="s">
        <v>57</v>
      </c>
      <c r="F5" s="24" t="s">
        <v>58</v>
      </c>
      <c r="H5" s="24" t="s">
        <v>59</v>
      </c>
      <c r="J5" s="24" t="s">
        <v>60</v>
      </c>
    </row>
    <row r="6" spans="1:11" ht="15.95" customHeight="1" x14ac:dyDescent="0.2">
      <c r="A6" s="156">
        <v>1</v>
      </c>
      <c r="B6" s="369" t="s">
        <v>62</v>
      </c>
      <c r="C6" s="370"/>
      <c r="D6" s="370"/>
      <c r="E6" s="27">
        <v>337159374.25999999</v>
      </c>
      <c r="F6" s="27">
        <v>149115278.94</v>
      </c>
      <c r="H6" s="27">
        <v>170598323.22999999</v>
      </c>
      <c r="J6" s="27">
        <v>315676329.97000003</v>
      </c>
      <c r="K6" s="25">
        <f>J6-E6</f>
        <v>-21483044.289999962</v>
      </c>
    </row>
    <row r="7" spans="1:11" ht="15.95" customHeight="1" x14ac:dyDescent="0.2">
      <c r="A7" s="156">
        <v>11</v>
      </c>
      <c r="B7" s="369" t="s">
        <v>63</v>
      </c>
      <c r="C7" s="370"/>
      <c r="D7" s="370"/>
      <c r="E7" s="27">
        <v>10734651.66</v>
      </c>
      <c r="F7" s="27">
        <v>111914457.90000001</v>
      </c>
      <c r="H7" s="27">
        <v>115305902.16</v>
      </c>
      <c r="J7" s="27">
        <v>7343207.4000000004</v>
      </c>
      <c r="K7" s="25">
        <f t="shared" ref="K7:K64" si="0">J7-E7</f>
        <v>-3391444.26</v>
      </c>
    </row>
    <row r="8" spans="1:11" ht="15.95" customHeight="1" x14ac:dyDescent="0.2">
      <c r="A8" s="163">
        <v>111</v>
      </c>
      <c r="B8" s="371" t="s">
        <v>64</v>
      </c>
      <c r="C8" s="372"/>
      <c r="D8" s="372"/>
      <c r="E8" s="29">
        <v>3648964.03</v>
      </c>
      <c r="F8" s="29">
        <v>61847426.32</v>
      </c>
      <c r="G8" s="164"/>
      <c r="H8" s="29">
        <v>63343763.969999999</v>
      </c>
      <c r="I8" s="164"/>
      <c r="J8" s="29">
        <v>2152626.38</v>
      </c>
      <c r="K8" s="31">
        <f t="shared" si="0"/>
        <v>-1496337.65</v>
      </c>
    </row>
    <row r="9" spans="1:11" ht="15.95" customHeight="1" x14ac:dyDescent="0.2">
      <c r="A9" s="156">
        <v>11101</v>
      </c>
      <c r="B9" s="369" t="s">
        <v>65</v>
      </c>
      <c r="C9" s="370"/>
      <c r="D9" s="370"/>
      <c r="E9" s="27">
        <v>157.93</v>
      </c>
      <c r="F9" s="27">
        <v>264533.84000000003</v>
      </c>
      <c r="H9" s="27">
        <v>264460.71999999997</v>
      </c>
      <c r="J9" s="27">
        <v>231.05</v>
      </c>
      <c r="K9" s="25">
        <f t="shared" si="0"/>
        <v>73.12</v>
      </c>
    </row>
    <row r="10" spans="1:11" ht="15.95" customHeight="1" x14ac:dyDescent="0.2">
      <c r="A10" s="156">
        <v>1110101</v>
      </c>
      <c r="B10" s="369" t="s">
        <v>66</v>
      </c>
      <c r="C10" s="370"/>
      <c r="D10" s="370"/>
      <c r="E10" s="27">
        <v>157.93</v>
      </c>
      <c r="F10" s="27">
        <v>264533.84000000003</v>
      </c>
      <c r="H10" s="27">
        <v>264460.71999999997</v>
      </c>
      <c r="J10" s="27">
        <v>231.05</v>
      </c>
      <c r="K10" s="25">
        <f t="shared" si="0"/>
        <v>73.12</v>
      </c>
    </row>
    <row r="11" spans="1:11" ht="15.95" customHeight="1" x14ac:dyDescent="0.2">
      <c r="A11" s="156" t="s">
        <v>67</v>
      </c>
      <c r="B11" s="369" t="s">
        <v>68</v>
      </c>
      <c r="C11" s="370"/>
      <c r="D11" s="370"/>
      <c r="E11" s="27">
        <v>157.93</v>
      </c>
      <c r="F11" s="27">
        <v>264533.84000000003</v>
      </c>
      <c r="H11" s="27">
        <v>264460.71999999997</v>
      </c>
      <c r="J11" s="27">
        <v>231.05</v>
      </c>
      <c r="K11" s="25">
        <f t="shared" si="0"/>
        <v>73.12</v>
      </c>
    </row>
    <row r="12" spans="1:11" ht="15.95" customHeight="1" x14ac:dyDescent="0.2">
      <c r="A12" s="156">
        <v>11102</v>
      </c>
      <c r="B12" s="369" t="s">
        <v>69</v>
      </c>
      <c r="C12" s="370"/>
      <c r="D12" s="370"/>
      <c r="E12" s="27">
        <v>0</v>
      </c>
      <c r="F12" s="27">
        <v>36237.69</v>
      </c>
      <c r="H12" s="27">
        <v>36237.589999999997</v>
      </c>
      <c r="J12" s="27" t="s">
        <v>1878</v>
      </c>
      <c r="K12" s="25">
        <f t="shared" si="0"/>
        <v>0.1</v>
      </c>
    </row>
    <row r="13" spans="1:11" ht="15.95" customHeight="1" x14ac:dyDescent="0.2">
      <c r="A13" s="156">
        <v>1110204</v>
      </c>
      <c r="B13" s="369" t="s">
        <v>70</v>
      </c>
      <c r="C13" s="370"/>
      <c r="D13" s="370"/>
      <c r="E13" s="27">
        <v>0</v>
      </c>
      <c r="F13" s="27">
        <v>36237.69</v>
      </c>
      <c r="H13" s="27">
        <v>36237.589999999997</v>
      </c>
      <c r="J13" s="27" t="s">
        <v>1878</v>
      </c>
      <c r="K13" s="25">
        <f t="shared" si="0"/>
        <v>0.1</v>
      </c>
    </row>
    <row r="14" spans="1:11" ht="15.95" customHeight="1" x14ac:dyDescent="0.2">
      <c r="A14" s="156" t="s">
        <v>1437</v>
      </c>
      <c r="B14" s="369" t="s">
        <v>1438</v>
      </c>
      <c r="C14" s="370"/>
      <c r="D14" s="370"/>
      <c r="E14" s="27">
        <v>0</v>
      </c>
      <c r="F14" s="27">
        <v>14000.72</v>
      </c>
      <c r="H14" s="27">
        <v>14000.62</v>
      </c>
      <c r="J14" s="27" t="s">
        <v>1878</v>
      </c>
      <c r="K14" s="25">
        <f t="shared" si="0"/>
        <v>0.1</v>
      </c>
    </row>
    <row r="15" spans="1:11" ht="15.95" customHeight="1" x14ac:dyDescent="0.2">
      <c r="A15" s="156" t="s">
        <v>1439</v>
      </c>
      <c r="B15" s="369" t="s">
        <v>1440</v>
      </c>
      <c r="C15" s="370"/>
      <c r="D15" s="370"/>
      <c r="E15" s="27">
        <v>0</v>
      </c>
      <c r="F15" s="27">
        <v>16192.14</v>
      </c>
      <c r="H15" s="27">
        <v>16192.14</v>
      </c>
      <c r="J15" s="27">
        <v>0</v>
      </c>
      <c r="K15" s="25">
        <f t="shared" si="0"/>
        <v>0</v>
      </c>
    </row>
    <row r="16" spans="1:11" ht="15.95" customHeight="1" x14ac:dyDescent="0.2">
      <c r="A16" s="156" t="s">
        <v>71</v>
      </c>
      <c r="B16" s="369" t="s">
        <v>72</v>
      </c>
      <c r="C16" s="370"/>
      <c r="D16" s="370"/>
      <c r="E16" s="27">
        <v>0</v>
      </c>
      <c r="F16" s="27">
        <v>4000</v>
      </c>
      <c r="H16" s="27">
        <v>4000</v>
      </c>
      <c r="J16" s="27">
        <v>0</v>
      </c>
      <c r="K16" s="25">
        <f t="shared" si="0"/>
        <v>0</v>
      </c>
    </row>
    <row r="17" spans="1:11" ht="15.95" customHeight="1" x14ac:dyDescent="0.2">
      <c r="A17" s="156" t="s">
        <v>73</v>
      </c>
      <c r="B17" s="369" t="s">
        <v>74</v>
      </c>
      <c r="C17" s="370"/>
      <c r="D17" s="370"/>
      <c r="E17" s="27">
        <v>0</v>
      </c>
      <c r="F17" s="27">
        <v>2044.83</v>
      </c>
      <c r="H17" s="27">
        <v>2044.83</v>
      </c>
      <c r="J17" s="27">
        <v>0</v>
      </c>
      <c r="K17" s="25">
        <f t="shared" si="0"/>
        <v>0</v>
      </c>
    </row>
    <row r="18" spans="1:11" ht="15.95" customHeight="1" x14ac:dyDescent="0.2">
      <c r="A18" s="156">
        <v>11103</v>
      </c>
      <c r="B18" s="369" t="s">
        <v>77</v>
      </c>
      <c r="C18" s="370"/>
      <c r="D18" s="370"/>
      <c r="E18" s="27">
        <v>423223.15</v>
      </c>
      <c r="F18" s="27">
        <v>52802871.240000002</v>
      </c>
      <c r="H18" s="27">
        <v>51932104.810000002</v>
      </c>
      <c r="J18" s="27">
        <v>1293989.58</v>
      </c>
      <c r="K18" s="25">
        <f t="shared" si="0"/>
        <v>870766.43</v>
      </c>
    </row>
    <row r="19" spans="1:11" ht="15.95" customHeight="1" x14ac:dyDescent="0.2">
      <c r="A19" s="156">
        <v>1110301</v>
      </c>
      <c r="B19" s="369" t="s">
        <v>78</v>
      </c>
      <c r="C19" s="370"/>
      <c r="D19" s="370"/>
      <c r="E19" s="27">
        <v>423223.15</v>
      </c>
      <c r="F19" s="27">
        <v>52802871.240000002</v>
      </c>
      <c r="H19" s="27">
        <v>51932104.810000002</v>
      </c>
      <c r="J19" s="27">
        <v>1293989.58</v>
      </c>
      <c r="K19" s="25">
        <f t="shared" si="0"/>
        <v>870766.43</v>
      </c>
    </row>
    <row r="20" spans="1:11" ht="15.95" customHeight="1" x14ac:dyDescent="0.2">
      <c r="A20" s="156" t="s">
        <v>79</v>
      </c>
      <c r="B20" s="369" t="s">
        <v>80</v>
      </c>
      <c r="C20" s="370"/>
      <c r="D20" s="370"/>
      <c r="E20" s="27">
        <v>423223.15</v>
      </c>
      <c r="F20" s="27">
        <v>52802871.240000002</v>
      </c>
      <c r="H20" s="27">
        <v>51932104.810000002</v>
      </c>
      <c r="J20" s="27">
        <v>1293989.58</v>
      </c>
      <c r="K20" s="25">
        <f t="shared" si="0"/>
        <v>870766.43</v>
      </c>
    </row>
    <row r="21" spans="1:11" ht="15.95" customHeight="1" x14ac:dyDescent="0.2">
      <c r="A21" s="156">
        <v>11104</v>
      </c>
      <c r="B21" s="369" t="s">
        <v>81</v>
      </c>
      <c r="C21" s="370"/>
      <c r="D21" s="370"/>
      <c r="E21" s="27">
        <v>977513.55</v>
      </c>
      <c r="F21" s="27">
        <v>3338739.75</v>
      </c>
      <c r="H21" s="27">
        <v>4311565.53</v>
      </c>
      <c r="J21" s="27">
        <v>4687.7700000000004</v>
      </c>
      <c r="K21" s="25">
        <f t="shared" si="0"/>
        <v>-972825.78</v>
      </c>
    </row>
    <row r="22" spans="1:11" ht="15.95" customHeight="1" x14ac:dyDescent="0.2">
      <c r="A22" s="156">
        <v>1110401</v>
      </c>
      <c r="B22" s="369" t="s">
        <v>82</v>
      </c>
      <c r="C22" s="370"/>
      <c r="D22" s="370"/>
      <c r="E22" s="27">
        <v>977513.55</v>
      </c>
      <c r="F22" s="27">
        <v>3338739.75</v>
      </c>
      <c r="H22" s="27">
        <v>4311565.53</v>
      </c>
      <c r="J22" s="27">
        <v>4687.7700000000004</v>
      </c>
      <c r="K22" s="25">
        <f t="shared" si="0"/>
        <v>-972825.78</v>
      </c>
    </row>
    <row r="23" spans="1:11" ht="15.95" customHeight="1" x14ac:dyDescent="0.2">
      <c r="A23" s="156" t="s">
        <v>83</v>
      </c>
      <c r="B23" s="369" t="s">
        <v>84</v>
      </c>
      <c r="C23" s="370"/>
      <c r="D23" s="370"/>
      <c r="E23" s="27">
        <v>977513.55</v>
      </c>
      <c r="F23" s="27">
        <v>3338739.75</v>
      </c>
      <c r="H23" s="27">
        <v>4311565.53</v>
      </c>
      <c r="J23" s="27">
        <v>4687.7700000000004</v>
      </c>
      <c r="K23" s="25">
        <f t="shared" si="0"/>
        <v>-972825.78</v>
      </c>
    </row>
    <row r="24" spans="1:11" ht="15.95" customHeight="1" x14ac:dyDescent="0.2">
      <c r="A24" s="156">
        <v>11105</v>
      </c>
      <c r="B24" s="369" t="s">
        <v>85</v>
      </c>
      <c r="C24" s="370"/>
      <c r="D24" s="370"/>
      <c r="E24" s="27">
        <v>730.24</v>
      </c>
      <c r="F24" s="27">
        <v>33.42</v>
      </c>
      <c r="H24" s="27">
        <v>2.92</v>
      </c>
      <c r="J24" s="27">
        <v>760.74</v>
      </c>
      <c r="K24" s="25">
        <f t="shared" si="0"/>
        <v>30.5</v>
      </c>
    </row>
    <row r="25" spans="1:11" ht="15.95" customHeight="1" x14ac:dyDescent="0.2">
      <c r="A25" s="156">
        <v>1110501</v>
      </c>
      <c r="B25" s="369" t="s">
        <v>78</v>
      </c>
      <c r="C25" s="370"/>
      <c r="D25" s="370"/>
      <c r="E25" s="27">
        <v>730.24</v>
      </c>
      <c r="F25" s="27">
        <v>33.42</v>
      </c>
      <c r="H25" s="27">
        <v>2.92</v>
      </c>
      <c r="J25" s="27">
        <v>760.74</v>
      </c>
      <c r="K25" s="25">
        <f t="shared" si="0"/>
        <v>30.5</v>
      </c>
    </row>
    <row r="26" spans="1:11" ht="15.95" customHeight="1" x14ac:dyDescent="0.2">
      <c r="A26" s="156" t="s">
        <v>86</v>
      </c>
      <c r="B26" s="369" t="s">
        <v>87</v>
      </c>
      <c r="C26" s="370"/>
      <c r="D26" s="370"/>
      <c r="E26" s="27">
        <v>286.68</v>
      </c>
      <c r="F26" s="27">
        <v>13.05</v>
      </c>
      <c r="H26" s="27">
        <v>2.92</v>
      </c>
      <c r="J26" s="27">
        <v>296.81</v>
      </c>
      <c r="K26" s="25">
        <f t="shared" si="0"/>
        <v>10.129999999999995</v>
      </c>
    </row>
    <row r="27" spans="1:11" ht="15.95" customHeight="1" x14ac:dyDescent="0.2">
      <c r="A27" s="156" t="s">
        <v>88</v>
      </c>
      <c r="B27" s="369" t="s">
        <v>89</v>
      </c>
      <c r="C27" s="370"/>
      <c r="D27" s="370"/>
      <c r="E27" s="27">
        <v>443.56</v>
      </c>
      <c r="F27" s="27">
        <v>20.37</v>
      </c>
      <c r="H27" s="27">
        <v>0</v>
      </c>
      <c r="J27" s="27">
        <v>463.93</v>
      </c>
      <c r="K27" s="25">
        <f t="shared" si="0"/>
        <v>20.370000000000005</v>
      </c>
    </row>
    <row r="28" spans="1:11" ht="15.95" customHeight="1" x14ac:dyDescent="0.2">
      <c r="A28" s="156">
        <v>11106</v>
      </c>
      <c r="B28" s="369" t="s">
        <v>90</v>
      </c>
      <c r="C28" s="370"/>
      <c r="D28" s="370"/>
      <c r="E28" s="27">
        <v>2247339.16</v>
      </c>
      <c r="F28" s="27">
        <v>5405010.3799999999</v>
      </c>
      <c r="H28" s="27">
        <v>6799392.4000000004</v>
      </c>
      <c r="J28" s="27">
        <v>852957.14</v>
      </c>
      <c r="K28" s="25">
        <f t="shared" si="0"/>
        <v>-1394382.02</v>
      </c>
    </row>
    <row r="29" spans="1:11" ht="15.95" customHeight="1" x14ac:dyDescent="0.2">
      <c r="A29" s="156">
        <v>1110601</v>
      </c>
      <c r="B29" s="369" t="s">
        <v>78</v>
      </c>
      <c r="C29" s="370"/>
      <c r="D29" s="370"/>
      <c r="E29" s="27">
        <v>2247339.16</v>
      </c>
      <c r="F29" s="27">
        <v>5405010.3799999999</v>
      </c>
      <c r="H29" s="27">
        <v>6799392.4000000004</v>
      </c>
      <c r="J29" s="27">
        <v>852957.14</v>
      </c>
      <c r="K29" s="25">
        <f t="shared" si="0"/>
        <v>-1394382.02</v>
      </c>
    </row>
    <row r="30" spans="1:11" ht="15.95" customHeight="1" x14ac:dyDescent="0.2">
      <c r="A30" s="156" t="s">
        <v>91</v>
      </c>
      <c r="B30" s="369" t="s">
        <v>92</v>
      </c>
      <c r="C30" s="370"/>
      <c r="D30" s="370"/>
      <c r="E30" s="27">
        <v>0</v>
      </c>
      <c r="F30" s="27">
        <v>3959674.14</v>
      </c>
      <c r="H30" s="27">
        <v>3948671.49</v>
      </c>
      <c r="J30" s="27">
        <v>11002.65</v>
      </c>
      <c r="K30" s="25">
        <f t="shared" si="0"/>
        <v>11002.65</v>
      </c>
    </row>
    <row r="31" spans="1:11" ht="15.95" customHeight="1" x14ac:dyDescent="0.2">
      <c r="A31" s="156" t="s">
        <v>93</v>
      </c>
      <c r="B31" s="369" t="s">
        <v>94</v>
      </c>
      <c r="C31" s="370"/>
      <c r="D31" s="370"/>
      <c r="E31" s="27">
        <v>2247339.16</v>
      </c>
      <c r="F31" s="27">
        <v>1445336.24</v>
      </c>
      <c r="H31" s="27">
        <v>2850720.91</v>
      </c>
      <c r="J31" s="27">
        <v>841954.49</v>
      </c>
      <c r="K31" s="25">
        <f t="shared" si="0"/>
        <v>-1405384.6700000002</v>
      </c>
    </row>
    <row r="32" spans="1:11" ht="15.95" customHeight="1" x14ac:dyDescent="0.2">
      <c r="A32" s="156">
        <v>112</v>
      </c>
      <c r="B32" s="369" t="s">
        <v>95</v>
      </c>
      <c r="C32" s="370"/>
      <c r="D32" s="370"/>
      <c r="E32" s="27">
        <v>5502731.1399999997</v>
      </c>
      <c r="F32" s="27">
        <v>48723339.950000003</v>
      </c>
      <c r="H32" s="27">
        <v>50210026.119999997</v>
      </c>
      <c r="J32" s="27">
        <v>4016044.97</v>
      </c>
      <c r="K32" s="25">
        <f t="shared" si="0"/>
        <v>-1486686.1699999995</v>
      </c>
    </row>
    <row r="33" spans="1:11" ht="15.95" customHeight="1" x14ac:dyDescent="0.2">
      <c r="A33" s="163">
        <v>11201</v>
      </c>
      <c r="B33" s="371" t="s">
        <v>96</v>
      </c>
      <c r="C33" s="372"/>
      <c r="D33" s="372"/>
      <c r="E33" s="29">
        <v>5138611.76</v>
      </c>
      <c r="F33" s="29">
        <v>45813510.310000002</v>
      </c>
      <c r="G33" s="164"/>
      <c r="H33" s="29">
        <v>47396945.189999998</v>
      </c>
      <c r="I33" s="164"/>
      <c r="J33" s="29">
        <v>3555176.88</v>
      </c>
      <c r="K33" s="31">
        <f t="shared" si="0"/>
        <v>-1583434.88</v>
      </c>
    </row>
    <row r="34" spans="1:11" ht="15.95" customHeight="1" x14ac:dyDescent="0.2">
      <c r="A34" s="156">
        <v>1120101</v>
      </c>
      <c r="B34" s="369" t="s">
        <v>97</v>
      </c>
      <c r="C34" s="370"/>
      <c r="D34" s="370"/>
      <c r="E34" s="27">
        <v>5078246.1399999997</v>
      </c>
      <c r="F34" s="27">
        <v>45553697.710000001</v>
      </c>
      <c r="H34" s="27">
        <v>47312559.490000002</v>
      </c>
      <c r="J34" s="27">
        <v>3319384.36</v>
      </c>
      <c r="K34" s="25">
        <f t="shared" si="0"/>
        <v>-1758861.7799999998</v>
      </c>
    </row>
    <row r="35" spans="1:11" ht="15.95" customHeight="1" x14ac:dyDescent="0.2">
      <c r="A35" s="156" t="s">
        <v>98</v>
      </c>
      <c r="B35" s="369" t="s">
        <v>99</v>
      </c>
      <c r="C35" s="370"/>
      <c r="D35" s="370"/>
      <c r="E35" s="27">
        <v>5078246.1399999997</v>
      </c>
      <c r="F35" s="27">
        <v>45553697.710000001</v>
      </c>
      <c r="H35" s="27">
        <v>47312559.490000002</v>
      </c>
      <c r="J35" s="27">
        <v>3319384.36</v>
      </c>
      <c r="K35" s="25">
        <f t="shared" si="0"/>
        <v>-1758861.7799999998</v>
      </c>
    </row>
    <row r="36" spans="1:11" ht="15.95" customHeight="1" x14ac:dyDescent="0.2">
      <c r="A36" s="156">
        <v>1120102</v>
      </c>
      <c r="B36" s="369" t="s">
        <v>100</v>
      </c>
      <c r="C36" s="370"/>
      <c r="D36" s="370"/>
      <c r="E36" s="27">
        <v>60365.62</v>
      </c>
      <c r="F36" s="27">
        <v>259812.6</v>
      </c>
      <c r="H36" s="27">
        <v>84385.7</v>
      </c>
      <c r="J36" s="27">
        <v>235792.52</v>
      </c>
      <c r="K36" s="25">
        <f t="shared" si="0"/>
        <v>175426.9</v>
      </c>
    </row>
    <row r="37" spans="1:11" ht="15.95" customHeight="1" x14ac:dyDescent="0.2">
      <c r="A37" s="156" t="s">
        <v>101</v>
      </c>
      <c r="B37" s="369" t="s">
        <v>102</v>
      </c>
      <c r="C37" s="370"/>
      <c r="D37" s="370"/>
      <c r="E37" s="27">
        <v>44032.56</v>
      </c>
      <c r="F37" s="27">
        <v>0</v>
      </c>
      <c r="H37" s="27">
        <v>0</v>
      </c>
      <c r="J37" s="27">
        <v>44032.56</v>
      </c>
      <c r="K37" s="25">
        <f t="shared" si="0"/>
        <v>0</v>
      </c>
    </row>
    <row r="38" spans="1:11" ht="15.95" customHeight="1" x14ac:dyDescent="0.2">
      <c r="A38" s="156" t="s">
        <v>103</v>
      </c>
      <c r="B38" s="369" t="s">
        <v>104</v>
      </c>
      <c r="C38" s="370"/>
      <c r="D38" s="370"/>
      <c r="E38" s="27">
        <v>4672.18</v>
      </c>
      <c r="F38" s="27">
        <v>0</v>
      </c>
      <c r="H38" s="27">
        <v>0</v>
      </c>
      <c r="J38" s="27">
        <v>4672.18</v>
      </c>
      <c r="K38" s="25">
        <f t="shared" si="0"/>
        <v>0</v>
      </c>
    </row>
    <row r="39" spans="1:11" ht="15.95" customHeight="1" x14ac:dyDescent="0.2">
      <c r="A39" s="156" t="s">
        <v>105</v>
      </c>
      <c r="B39" s="369" t="s">
        <v>106</v>
      </c>
      <c r="C39" s="370"/>
      <c r="D39" s="370"/>
      <c r="E39" s="27">
        <v>11660.88</v>
      </c>
      <c r="F39" s="27">
        <v>4858.7</v>
      </c>
      <c r="H39" s="27">
        <v>8745.66</v>
      </c>
      <c r="J39" s="27">
        <v>7773.92</v>
      </c>
      <c r="K39" s="25">
        <f t="shared" si="0"/>
        <v>-3886.9599999999991</v>
      </c>
    </row>
    <row r="40" spans="1:11" ht="15.95" customHeight="1" x14ac:dyDescent="0.2">
      <c r="A40" s="156" t="s">
        <v>1803</v>
      </c>
      <c r="B40" s="369" t="s">
        <v>1804</v>
      </c>
      <c r="C40" s="370"/>
      <c r="D40" s="370"/>
      <c r="E40" s="27">
        <v>0</v>
      </c>
      <c r="F40" s="27">
        <v>64618.51</v>
      </c>
      <c r="H40" s="27">
        <v>32309.279999999999</v>
      </c>
      <c r="J40" s="27">
        <v>32309.23</v>
      </c>
      <c r="K40" s="25">
        <f t="shared" si="0"/>
        <v>32309.23</v>
      </c>
    </row>
    <row r="41" spans="1:11" ht="15.95" customHeight="1" x14ac:dyDescent="0.2">
      <c r="A41" s="156" t="s">
        <v>107</v>
      </c>
      <c r="B41" s="369" t="s">
        <v>108</v>
      </c>
      <c r="C41" s="370"/>
      <c r="D41" s="370"/>
      <c r="E41" s="27">
        <v>0</v>
      </c>
      <c r="F41" s="27">
        <v>66486.48</v>
      </c>
      <c r="H41" s="27">
        <v>22162.16</v>
      </c>
      <c r="J41" s="27">
        <v>44324.32</v>
      </c>
      <c r="K41" s="25">
        <f t="shared" si="0"/>
        <v>44324.32</v>
      </c>
    </row>
    <row r="42" spans="1:11" ht="15.95" customHeight="1" x14ac:dyDescent="0.2">
      <c r="A42" s="156" t="s">
        <v>109</v>
      </c>
      <c r="B42" s="369" t="s">
        <v>110</v>
      </c>
      <c r="C42" s="370"/>
      <c r="D42" s="370"/>
      <c r="E42" s="27">
        <v>0</v>
      </c>
      <c r="F42" s="27">
        <v>87836.91</v>
      </c>
      <c r="H42" s="27">
        <v>17567.400000000001</v>
      </c>
      <c r="J42" s="27">
        <v>70269.509999999995</v>
      </c>
      <c r="K42" s="25">
        <f t="shared" si="0"/>
        <v>70269.509999999995</v>
      </c>
    </row>
    <row r="43" spans="1:11" ht="15.95" customHeight="1" x14ac:dyDescent="0.2">
      <c r="A43" s="156" t="s">
        <v>111</v>
      </c>
      <c r="B43" s="369" t="s">
        <v>112</v>
      </c>
      <c r="C43" s="370"/>
      <c r="D43" s="370"/>
      <c r="E43" s="27">
        <v>0</v>
      </c>
      <c r="F43" s="27">
        <v>36012</v>
      </c>
      <c r="H43" s="27">
        <v>3601.2</v>
      </c>
      <c r="J43" s="27">
        <v>32410.799999999999</v>
      </c>
      <c r="K43" s="25">
        <f t="shared" si="0"/>
        <v>32410.799999999999</v>
      </c>
    </row>
    <row r="44" spans="1:11" ht="15.95" customHeight="1" x14ac:dyDescent="0.2">
      <c r="A44" s="163">
        <v>11202</v>
      </c>
      <c r="B44" s="371" t="s">
        <v>115</v>
      </c>
      <c r="C44" s="372"/>
      <c r="D44" s="372"/>
      <c r="E44" s="29">
        <v>-401782.38</v>
      </c>
      <c r="F44" s="29">
        <v>181642.43</v>
      </c>
      <c r="G44" s="164"/>
      <c r="H44" s="29">
        <v>159006.42000000001</v>
      </c>
      <c r="I44" s="164"/>
      <c r="J44" s="29">
        <v>-379146.37</v>
      </c>
      <c r="K44" s="31">
        <f t="shared" si="0"/>
        <v>22636.010000000009</v>
      </c>
    </row>
    <row r="45" spans="1:11" ht="15.95" customHeight="1" x14ac:dyDescent="0.2">
      <c r="A45" s="156">
        <v>1120201</v>
      </c>
      <c r="B45" s="369" t="s">
        <v>116</v>
      </c>
      <c r="C45" s="370"/>
      <c r="D45" s="370"/>
      <c r="E45" s="27">
        <v>-401782.38</v>
      </c>
      <c r="F45" s="27">
        <v>181642.43</v>
      </c>
      <c r="H45" s="27">
        <v>159006.42000000001</v>
      </c>
      <c r="J45" s="27">
        <v>-379146.37</v>
      </c>
      <c r="K45" s="25">
        <f t="shared" si="0"/>
        <v>22636.010000000009</v>
      </c>
    </row>
    <row r="46" spans="1:11" ht="15.95" customHeight="1" x14ac:dyDescent="0.2">
      <c r="A46" s="156" t="s">
        <v>117</v>
      </c>
      <c r="B46" s="369" t="s">
        <v>118</v>
      </c>
      <c r="C46" s="370"/>
      <c r="D46" s="370"/>
      <c r="E46" s="27">
        <v>-401782.38</v>
      </c>
      <c r="F46" s="27">
        <v>181642.43</v>
      </c>
      <c r="H46" s="27">
        <v>159006.42000000001</v>
      </c>
      <c r="J46" s="27">
        <v>-379146.37</v>
      </c>
      <c r="K46" s="25">
        <f t="shared" si="0"/>
        <v>22636.010000000009</v>
      </c>
    </row>
    <row r="47" spans="1:11" ht="15.95" customHeight="1" x14ac:dyDescent="0.2">
      <c r="A47" s="156">
        <v>11204</v>
      </c>
      <c r="B47" s="369" t="s">
        <v>119</v>
      </c>
      <c r="C47" s="370"/>
      <c r="D47" s="370"/>
      <c r="E47" s="27">
        <v>83534.080000000002</v>
      </c>
      <c r="F47" s="27">
        <v>366109.89</v>
      </c>
      <c r="H47" s="27">
        <v>370176.45</v>
      </c>
      <c r="J47" s="27">
        <v>79467.520000000004</v>
      </c>
      <c r="K47" s="25">
        <f t="shared" si="0"/>
        <v>-4066.5599999999977</v>
      </c>
    </row>
    <row r="48" spans="1:11" ht="15.95" customHeight="1" x14ac:dyDescent="0.2">
      <c r="A48" s="156">
        <v>1120401</v>
      </c>
      <c r="B48" s="369" t="s">
        <v>120</v>
      </c>
      <c r="C48" s="370"/>
      <c r="D48" s="370"/>
      <c r="E48" s="27">
        <v>39344.06</v>
      </c>
      <c r="F48" s="27">
        <v>166374.76</v>
      </c>
      <c r="H48" s="27">
        <v>168585.04</v>
      </c>
      <c r="J48" s="27">
        <v>37133.78</v>
      </c>
      <c r="K48" s="25">
        <f t="shared" si="0"/>
        <v>-2210.2799999999988</v>
      </c>
    </row>
    <row r="49" spans="1:11" ht="15.95" customHeight="1" x14ac:dyDescent="0.2">
      <c r="A49" s="156" t="s">
        <v>121</v>
      </c>
      <c r="B49" s="369" t="s">
        <v>122</v>
      </c>
      <c r="C49" s="370"/>
      <c r="D49" s="370"/>
      <c r="E49" s="27">
        <v>39344.06</v>
      </c>
      <c r="F49" s="27">
        <v>166374.76</v>
      </c>
      <c r="H49" s="27">
        <v>168585.04</v>
      </c>
      <c r="J49" s="27">
        <v>37133.78</v>
      </c>
      <c r="K49" s="25">
        <f t="shared" si="0"/>
        <v>-2210.2799999999988</v>
      </c>
    </row>
    <row r="50" spans="1:11" ht="15.95" customHeight="1" x14ac:dyDescent="0.2">
      <c r="A50" s="156">
        <v>1120407</v>
      </c>
      <c r="B50" s="369" t="s">
        <v>123</v>
      </c>
      <c r="C50" s="370"/>
      <c r="D50" s="370"/>
      <c r="E50" s="27">
        <v>44190.02</v>
      </c>
      <c r="F50" s="27">
        <v>199735.13</v>
      </c>
      <c r="H50" s="27">
        <v>201591.41</v>
      </c>
      <c r="J50" s="27">
        <v>42333.74</v>
      </c>
      <c r="K50" s="25">
        <f t="shared" si="0"/>
        <v>-1856.2799999999988</v>
      </c>
    </row>
    <row r="51" spans="1:11" ht="15.95" customHeight="1" x14ac:dyDescent="0.2">
      <c r="A51" s="156" t="s">
        <v>124</v>
      </c>
      <c r="B51" s="369" t="s">
        <v>125</v>
      </c>
      <c r="C51" s="370"/>
      <c r="D51" s="370"/>
      <c r="E51" s="27">
        <v>44190.02</v>
      </c>
      <c r="F51" s="27">
        <v>199735.13</v>
      </c>
      <c r="H51" s="27">
        <v>201591.41</v>
      </c>
      <c r="J51" s="27">
        <v>42333.74</v>
      </c>
      <c r="K51" s="25">
        <f t="shared" si="0"/>
        <v>-1856.2799999999988</v>
      </c>
    </row>
    <row r="52" spans="1:11" ht="15.95" customHeight="1" x14ac:dyDescent="0.2">
      <c r="A52" s="156">
        <v>11205</v>
      </c>
      <c r="B52" s="369" t="s">
        <v>126</v>
      </c>
      <c r="C52" s="370"/>
      <c r="D52" s="370"/>
      <c r="E52" s="27">
        <v>682367.68</v>
      </c>
      <c r="F52" s="27">
        <v>2362077.3199999998</v>
      </c>
      <c r="H52" s="27">
        <v>2283898.06</v>
      </c>
      <c r="J52" s="27">
        <v>760546.94</v>
      </c>
      <c r="K52" s="25">
        <f t="shared" si="0"/>
        <v>78179.259999999893</v>
      </c>
    </row>
    <row r="53" spans="1:11" ht="15.95" customHeight="1" x14ac:dyDescent="0.2">
      <c r="A53" s="163">
        <v>1120501</v>
      </c>
      <c r="B53" s="371" t="s">
        <v>127</v>
      </c>
      <c r="C53" s="372"/>
      <c r="D53" s="372"/>
      <c r="E53" s="29">
        <v>0</v>
      </c>
      <c r="F53" s="29">
        <v>630338.80000000005</v>
      </c>
      <c r="G53" s="164"/>
      <c r="H53" s="29">
        <v>548862.73</v>
      </c>
      <c r="I53" s="164"/>
      <c r="J53" s="29">
        <v>81476.070000000007</v>
      </c>
      <c r="K53" s="31">
        <f t="shared" si="0"/>
        <v>81476.070000000007</v>
      </c>
    </row>
    <row r="54" spans="1:11" ht="15.95" customHeight="1" x14ac:dyDescent="0.2">
      <c r="A54" s="156" t="s">
        <v>128</v>
      </c>
      <c r="B54" s="369" t="s">
        <v>129</v>
      </c>
      <c r="C54" s="370"/>
      <c r="D54" s="370"/>
      <c r="E54" s="27">
        <v>0</v>
      </c>
      <c r="F54" s="27">
        <v>605317.99</v>
      </c>
      <c r="H54" s="27">
        <v>523841.92</v>
      </c>
      <c r="J54" s="27">
        <v>81476.070000000007</v>
      </c>
      <c r="K54" s="25">
        <f t="shared" si="0"/>
        <v>81476.070000000007</v>
      </c>
    </row>
    <row r="55" spans="1:11" ht="15.95" customHeight="1" x14ac:dyDescent="0.2">
      <c r="A55" s="156" t="s">
        <v>130</v>
      </c>
      <c r="B55" s="369" t="s">
        <v>131</v>
      </c>
      <c r="C55" s="370"/>
      <c r="D55" s="370"/>
      <c r="E55" s="27">
        <v>0</v>
      </c>
      <c r="F55" s="27">
        <v>25020.81</v>
      </c>
      <c r="H55" s="27">
        <v>25020.81</v>
      </c>
      <c r="J55" s="27">
        <v>0</v>
      </c>
      <c r="K55" s="25">
        <f t="shared" si="0"/>
        <v>0</v>
      </c>
    </row>
    <row r="56" spans="1:11" ht="15.95" customHeight="1" x14ac:dyDescent="0.2">
      <c r="A56" s="163">
        <v>1120502</v>
      </c>
      <c r="B56" s="371" t="s">
        <v>132</v>
      </c>
      <c r="C56" s="372"/>
      <c r="D56" s="372"/>
      <c r="E56" s="29">
        <v>640927.68000000005</v>
      </c>
      <c r="F56" s="29">
        <v>1731738.52</v>
      </c>
      <c r="G56" s="164"/>
      <c r="H56" s="29">
        <v>1735035.33</v>
      </c>
      <c r="I56" s="164"/>
      <c r="J56" s="29">
        <v>637630.87</v>
      </c>
      <c r="K56" s="31">
        <f t="shared" si="0"/>
        <v>-3296.8100000000559</v>
      </c>
    </row>
    <row r="57" spans="1:11" ht="15.95" customHeight="1" x14ac:dyDescent="0.2">
      <c r="A57" s="156" t="s">
        <v>133</v>
      </c>
      <c r="B57" s="369" t="s">
        <v>134</v>
      </c>
      <c r="C57" s="370"/>
      <c r="D57" s="370"/>
      <c r="E57" s="27">
        <v>1218.1400000000001</v>
      </c>
      <c r="F57" s="27">
        <v>504702.42</v>
      </c>
      <c r="H57" s="27">
        <v>504702.42</v>
      </c>
      <c r="J57" s="27">
        <v>1218.1400000000001</v>
      </c>
      <c r="K57" s="25">
        <f t="shared" si="0"/>
        <v>0</v>
      </c>
    </row>
    <row r="58" spans="1:11" ht="15.95" customHeight="1" x14ac:dyDescent="0.2">
      <c r="A58" s="156" t="s">
        <v>135</v>
      </c>
      <c r="B58" s="369" t="s">
        <v>136</v>
      </c>
      <c r="C58" s="370"/>
      <c r="D58" s="370"/>
      <c r="E58" s="27">
        <v>129838.19</v>
      </c>
      <c r="F58" s="27">
        <v>335322.71999999997</v>
      </c>
      <c r="H58" s="27">
        <v>330847.14</v>
      </c>
      <c r="J58" s="27">
        <v>134313.76999999999</v>
      </c>
      <c r="K58" s="25">
        <f t="shared" si="0"/>
        <v>4475.5799999999872</v>
      </c>
    </row>
    <row r="59" spans="1:11" ht="27.95" customHeight="1" x14ac:dyDescent="0.2">
      <c r="A59" s="156" t="s">
        <v>137</v>
      </c>
      <c r="B59" s="369" t="s">
        <v>138</v>
      </c>
      <c r="C59" s="370"/>
      <c r="D59" s="370"/>
      <c r="E59" s="27">
        <v>509876.27</v>
      </c>
      <c r="F59" s="27">
        <v>253989.94</v>
      </c>
      <c r="H59" s="27">
        <v>751916.01</v>
      </c>
      <c r="J59" s="27">
        <v>11950.2</v>
      </c>
      <c r="K59" s="25">
        <f t="shared" si="0"/>
        <v>-497926.07</v>
      </c>
    </row>
    <row r="60" spans="1:11" ht="15.95" customHeight="1" x14ac:dyDescent="0.2">
      <c r="A60" s="156" t="s">
        <v>139</v>
      </c>
      <c r="B60" s="369" t="s">
        <v>140</v>
      </c>
      <c r="C60" s="370"/>
      <c r="D60" s="370"/>
      <c r="E60" s="27">
        <v>-4.92</v>
      </c>
      <c r="F60" s="27">
        <v>578513.18000000005</v>
      </c>
      <c r="H60" s="27">
        <v>105164.93</v>
      </c>
      <c r="J60" s="27">
        <v>473343.33</v>
      </c>
      <c r="K60" s="25">
        <f t="shared" si="0"/>
        <v>473348.25</v>
      </c>
    </row>
    <row r="61" spans="1:11" ht="15.95" customHeight="1" x14ac:dyDescent="0.2">
      <c r="A61" s="156" t="s">
        <v>141</v>
      </c>
      <c r="B61" s="369" t="s">
        <v>142</v>
      </c>
      <c r="C61" s="370"/>
      <c r="D61" s="370"/>
      <c r="E61" s="27">
        <v>0</v>
      </c>
      <c r="F61" s="27">
        <v>59210.26</v>
      </c>
      <c r="H61" s="27">
        <v>42404.83</v>
      </c>
      <c r="J61" s="27">
        <v>16805.43</v>
      </c>
      <c r="K61" s="25">
        <f t="shared" si="0"/>
        <v>16805.43</v>
      </c>
    </row>
    <row r="62" spans="1:11" ht="15.95" customHeight="1" x14ac:dyDescent="0.2">
      <c r="A62" s="163">
        <v>1120503</v>
      </c>
      <c r="B62" s="371" t="s">
        <v>143</v>
      </c>
      <c r="C62" s="372"/>
      <c r="D62" s="372"/>
      <c r="E62" s="29">
        <v>41440</v>
      </c>
      <c r="F62" s="29">
        <v>0</v>
      </c>
      <c r="G62" s="164"/>
      <c r="H62" s="29">
        <v>0</v>
      </c>
      <c r="I62" s="164"/>
      <c r="J62" s="29">
        <v>41440</v>
      </c>
      <c r="K62" s="31">
        <f t="shared" si="0"/>
        <v>0</v>
      </c>
    </row>
    <row r="63" spans="1:11" ht="15.95" customHeight="1" x14ac:dyDescent="0.2">
      <c r="A63" s="156" t="s">
        <v>144</v>
      </c>
      <c r="B63" s="369" t="s">
        <v>145</v>
      </c>
      <c r="C63" s="370"/>
      <c r="D63" s="370"/>
      <c r="E63" s="27">
        <v>41440</v>
      </c>
      <c r="F63" s="27">
        <v>0</v>
      </c>
      <c r="H63" s="27">
        <v>0</v>
      </c>
      <c r="J63" s="27">
        <v>41440</v>
      </c>
      <c r="K63" s="25">
        <f t="shared" si="0"/>
        <v>0</v>
      </c>
    </row>
    <row r="64" spans="1:11" ht="15.95" customHeight="1" x14ac:dyDescent="0.2">
      <c r="A64" s="163">
        <v>113</v>
      </c>
      <c r="B64" s="371" t="s">
        <v>146</v>
      </c>
      <c r="C64" s="372"/>
      <c r="D64" s="372"/>
      <c r="E64" s="29">
        <v>1256730.98</v>
      </c>
      <c r="F64" s="29">
        <v>1203034.54</v>
      </c>
      <c r="G64" s="164"/>
      <c r="H64" s="29">
        <v>1408097.98</v>
      </c>
      <c r="I64" s="164"/>
      <c r="J64" s="29">
        <v>1051667.54</v>
      </c>
      <c r="K64" s="31">
        <f t="shared" si="0"/>
        <v>-205063.43999999994</v>
      </c>
    </row>
    <row r="65" spans="1:11" ht="15.95" customHeight="1" x14ac:dyDescent="0.2">
      <c r="A65" s="156">
        <v>11301</v>
      </c>
      <c r="B65" s="369" t="s">
        <v>146</v>
      </c>
      <c r="C65" s="370"/>
      <c r="D65" s="370"/>
      <c r="E65" s="27">
        <v>1256730.98</v>
      </c>
      <c r="F65" s="27">
        <v>1203034.54</v>
      </c>
      <c r="H65" s="27">
        <v>1408097.98</v>
      </c>
      <c r="J65" s="27">
        <v>1051667.54</v>
      </c>
      <c r="K65" s="25">
        <f t="shared" ref="K65:K122" si="1">J65-E65</f>
        <v>-205063.43999999994</v>
      </c>
    </row>
    <row r="66" spans="1:11" ht="15.95" customHeight="1" x14ac:dyDescent="0.2">
      <c r="A66" s="156">
        <v>1130101</v>
      </c>
      <c r="B66" s="369" t="s">
        <v>147</v>
      </c>
      <c r="C66" s="370"/>
      <c r="D66" s="370"/>
      <c r="E66" s="27">
        <v>0</v>
      </c>
      <c r="F66" s="27">
        <v>1203034.54</v>
      </c>
      <c r="H66" s="27">
        <v>456969.63</v>
      </c>
      <c r="J66" s="27">
        <v>746064.91</v>
      </c>
      <c r="K66" s="25">
        <f t="shared" si="1"/>
        <v>746064.91</v>
      </c>
    </row>
    <row r="67" spans="1:11" ht="15.95" customHeight="1" x14ac:dyDescent="0.2">
      <c r="A67" s="156" t="s">
        <v>148</v>
      </c>
      <c r="B67" s="369" t="s">
        <v>149</v>
      </c>
      <c r="C67" s="370"/>
      <c r="D67" s="370"/>
      <c r="E67" s="27">
        <v>0</v>
      </c>
      <c r="F67" s="27">
        <v>600946.42000000004</v>
      </c>
      <c r="H67" s="27">
        <v>0</v>
      </c>
      <c r="J67" s="27">
        <v>600946.42000000004</v>
      </c>
      <c r="K67" s="25">
        <f t="shared" si="1"/>
        <v>600946.42000000004</v>
      </c>
    </row>
    <row r="68" spans="1:11" ht="15.95" customHeight="1" x14ac:dyDescent="0.2">
      <c r="A68" s="156" t="s">
        <v>150</v>
      </c>
      <c r="B68" s="369" t="s">
        <v>151</v>
      </c>
      <c r="C68" s="370"/>
      <c r="D68" s="370"/>
      <c r="E68" s="27">
        <v>0</v>
      </c>
      <c r="F68" s="27">
        <v>19844.169999999998</v>
      </c>
      <c r="H68" s="27">
        <v>0</v>
      </c>
      <c r="J68" s="27">
        <v>19844.169999999998</v>
      </c>
      <c r="K68" s="25">
        <f t="shared" si="1"/>
        <v>19844.169999999998</v>
      </c>
    </row>
    <row r="69" spans="1:11" ht="15.95" customHeight="1" x14ac:dyDescent="0.2">
      <c r="A69" s="156" t="s">
        <v>152</v>
      </c>
      <c r="B69" s="369" t="s">
        <v>153</v>
      </c>
      <c r="C69" s="370"/>
      <c r="D69" s="370"/>
      <c r="E69" s="27">
        <v>0</v>
      </c>
      <c r="F69" s="27">
        <v>77.11</v>
      </c>
      <c r="H69" s="27">
        <v>0</v>
      </c>
      <c r="J69" s="27">
        <v>77.11</v>
      </c>
      <c r="K69" s="25">
        <f t="shared" si="1"/>
        <v>77.11</v>
      </c>
    </row>
    <row r="70" spans="1:11" ht="15.95" customHeight="1" x14ac:dyDescent="0.2">
      <c r="A70" s="156" t="s">
        <v>154</v>
      </c>
      <c r="B70" s="369" t="s">
        <v>155</v>
      </c>
      <c r="C70" s="370"/>
      <c r="D70" s="370"/>
      <c r="E70" s="27">
        <v>0</v>
      </c>
      <c r="F70" s="27">
        <v>125197.21</v>
      </c>
      <c r="H70" s="27">
        <v>0</v>
      </c>
      <c r="J70" s="27">
        <v>125197.21</v>
      </c>
      <c r="K70" s="25">
        <f t="shared" si="1"/>
        <v>125197.21</v>
      </c>
    </row>
    <row r="71" spans="1:11" ht="15.95" customHeight="1" x14ac:dyDescent="0.2">
      <c r="A71" s="156" t="s">
        <v>156</v>
      </c>
      <c r="B71" s="369" t="s">
        <v>157</v>
      </c>
      <c r="C71" s="370"/>
      <c r="D71" s="370"/>
      <c r="E71" s="27">
        <v>0</v>
      </c>
      <c r="F71" s="27">
        <v>81378.11</v>
      </c>
      <c r="H71" s="27">
        <v>81378.11</v>
      </c>
      <c r="J71" s="27">
        <v>0</v>
      </c>
      <c r="K71" s="25">
        <f t="shared" si="1"/>
        <v>0</v>
      </c>
    </row>
    <row r="72" spans="1:11" ht="15.95" customHeight="1" x14ac:dyDescent="0.2">
      <c r="A72" s="156" t="s">
        <v>158</v>
      </c>
      <c r="B72" s="369" t="s">
        <v>159</v>
      </c>
      <c r="C72" s="370"/>
      <c r="D72" s="370"/>
      <c r="E72" s="27">
        <v>0</v>
      </c>
      <c r="F72" s="27">
        <v>375591.52</v>
      </c>
      <c r="H72" s="27">
        <v>375591.52</v>
      </c>
      <c r="J72" s="27">
        <v>0</v>
      </c>
      <c r="K72" s="25">
        <f t="shared" si="1"/>
        <v>0</v>
      </c>
    </row>
    <row r="73" spans="1:11" ht="15.95" customHeight="1" x14ac:dyDescent="0.2">
      <c r="A73" s="156">
        <v>1130102</v>
      </c>
      <c r="B73" s="369" t="s">
        <v>160</v>
      </c>
      <c r="C73" s="370"/>
      <c r="D73" s="370"/>
      <c r="E73" s="27">
        <v>1046598.36</v>
      </c>
      <c r="F73" s="27">
        <v>0</v>
      </c>
      <c r="H73" s="27">
        <v>951128.35</v>
      </c>
      <c r="J73" s="27">
        <v>95470.01</v>
      </c>
      <c r="K73" s="25">
        <f t="shared" si="1"/>
        <v>-951128.35</v>
      </c>
    </row>
    <row r="74" spans="1:11" ht="15.95" customHeight="1" x14ac:dyDescent="0.2">
      <c r="A74" s="156" t="s">
        <v>1442</v>
      </c>
      <c r="B74" s="369" t="s">
        <v>1443</v>
      </c>
      <c r="C74" s="370"/>
      <c r="D74" s="370"/>
      <c r="E74" s="27">
        <v>1046598.36</v>
      </c>
      <c r="F74" s="27">
        <v>0</v>
      </c>
      <c r="H74" s="27">
        <v>951128.35</v>
      </c>
      <c r="J74" s="27">
        <v>95470.01</v>
      </c>
      <c r="K74" s="25">
        <f t="shared" si="1"/>
        <v>-951128.35</v>
      </c>
    </row>
    <row r="75" spans="1:11" ht="15.95" customHeight="1" x14ac:dyDescent="0.2">
      <c r="A75" s="156">
        <v>1130103</v>
      </c>
      <c r="B75" s="369" t="s">
        <v>163</v>
      </c>
      <c r="C75" s="370"/>
      <c r="D75" s="370"/>
      <c r="E75" s="27">
        <v>210132.62</v>
      </c>
      <c r="F75" s="27">
        <v>0</v>
      </c>
      <c r="H75" s="27">
        <v>0</v>
      </c>
      <c r="J75" s="27">
        <v>210132.62</v>
      </c>
      <c r="K75" s="25">
        <f t="shared" si="1"/>
        <v>0</v>
      </c>
    </row>
    <row r="76" spans="1:11" ht="15.95" customHeight="1" x14ac:dyDescent="0.2">
      <c r="A76" s="156" t="s">
        <v>1444</v>
      </c>
      <c r="B76" s="369" t="s">
        <v>1445</v>
      </c>
      <c r="C76" s="370"/>
      <c r="D76" s="370"/>
      <c r="E76" s="27">
        <v>210132.62</v>
      </c>
      <c r="F76" s="27">
        <v>0</v>
      </c>
      <c r="H76" s="27">
        <v>0</v>
      </c>
      <c r="J76" s="27">
        <v>210132.62</v>
      </c>
      <c r="K76" s="25">
        <f t="shared" si="1"/>
        <v>0</v>
      </c>
    </row>
    <row r="77" spans="1:11" ht="15.95" customHeight="1" x14ac:dyDescent="0.2">
      <c r="A77" s="163">
        <v>114</v>
      </c>
      <c r="B77" s="371" t="s">
        <v>173</v>
      </c>
      <c r="C77" s="372"/>
      <c r="D77" s="372"/>
      <c r="E77" s="29">
        <v>103733.55</v>
      </c>
      <c r="F77" s="29">
        <v>64118.65</v>
      </c>
      <c r="G77" s="164"/>
      <c r="H77" s="29">
        <v>106911.69</v>
      </c>
      <c r="I77" s="164"/>
      <c r="J77" s="29">
        <v>60940.51</v>
      </c>
      <c r="K77" s="31">
        <f t="shared" si="1"/>
        <v>-42793.04</v>
      </c>
    </row>
    <row r="78" spans="1:11" ht="15.95" customHeight="1" x14ac:dyDescent="0.2">
      <c r="A78" s="156">
        <v>11401</v>
      </c>
      <c r="B78" s="369" t="s">
        <v>174</v>
      </c>
      <c r="C78" s="370"/>
      <c r="D78" s="370"/>
      <c r="E78" s="27">
        <v>103733.55</v>
      </c>
      <c r="F78" s="27">
        <v>64118.65</v>
      </c>
      <c r="H78" s="27">
        <v>106911.69</v>
      </c>
      <c r="J78" s="27">
        <v>60940.51</v>
      </c>
      <c r="K78" s="25">
        <f t="shared" si="1"/>
        <v>-42793.04</v>
      </c>
    </row>
    <row r="79" spans="1:11" ht="15.95" customHeight="1" x14ac:dyDescent="0.2">
      <c r="A79" s="156">
        <v>1140101</v>
      </c>
      <c r="B79" s="369" t="s">
        <v>175</v>
      </c>
      <c r="C79" s="370"/>
      <c r="D79" s="370"/>
      <c r="E79" s="27">
        <v>38142.800000000003</v>
      </c>
      <c r="F79" s="27">
        <v>5375.6</v>
      </c>
      <c r="H79" s="27">
        <v>35387</v>
      </c>
      <c r="J79" s="27">
        <v>8131.4</v>
      </c>
      <c r="K79" s="25">
        <f t="shared" si="1"/>
        <v>-30011.4</v>
      </c>
    </row>
    <row r="80" spans="1:11" ht="15.95" customHeight="1" x14ac:dyDescent="0.2">
      <c r="A80" s="156" t="s">
        <v>176</v>
      </c>
      <c r="B80" s="369" t="s">
        <v>177</v>
      </c>
      <c r="C80" s="370"/>
      <c r="D80" s="370"/>
      <c r="E80" s="27">
        <v>31200</v>
      </c>
      <c r="F80" s="27">
        <v>998</v>
      </c>
      <c r="H80" s="27">
        <v>29798</v>
      </c>
      <c r="J80" s="27">
        <v>2400</v>
      </c>
      <c r="K80" s="25">
        <f t="shared" si="1"/>
        <v>-28800</v>
      </c>
    </row>
    <row r="81" spans="1:11" ht="15.95" customHeight="1" x14ac:dyDescent="0.2">
      <c r="A81" s="156" t="s">
        <v>1446</v>
      </c>
      <c r="B81" s="369" t="s">
        <v>1224</v>
      </c>
      <c r="C81" s="370"/>
      <c r="D81" s="370"/>
      <c r="E81" s="27">
        <v>267</v>
      </c>
      <c r="F81" s="27">
        <v>177.6</v>
      </c>
      <c r="H81" s="27">
        <v>383.4</v>
      </c>
      <c r="J81" s="27">
        <v>61.2</v>
      </c>
      <c r="K81" s="25">
        <f t="shared" si="1"/>
        <v>-205.8</v>
      </c>
    </row>
    <row r="82" spans="1:11" ht="15.95" customHeight="1" x14ac:dyDescent="0.2">
      <c r="A82" s="156" t="s">
        <v>178</v>
      </c>
      <c r="B82" s="369" t="s">
        <v>179</v>
      </c>
      <c r="C82" s="370"/>
      <c r="D82" s="370"/>
      <c r="E82" s="27">
        <v>6675.8</v>
      </c>
      <c r="F82" s="27">
        <v>4200</v>
      </c>
      <c r="H82" s="27">
        <v>5205.6000000000004</v>
      </c>
      <c r="J82" s="27">
        <v>5670.2</v>
      </c>
      <c r="K82" s="25">
        <f t="shared" si="1"/>
        <v>-1005.6000000000004</v>
      </c>
    </row>
    <row r="83" spans="1:11" ht="15.95" customHeight="1" x14ac:dyDescent="0.2">
      <c r="A83" s="156">
        <v>1140102</v>
      </c>
      <c r="B83" s="369" t="s">
        <v>180</v>
      </c>
      <c r="C83" s="370"/>
      <c r="D83" s="370"/>
      <c r="E83" s="27">
        <v>65590.75</v>
      </c>
      <c r="F83" s="27">
        <v>58743.05</v>
      </c>
      <c r="H83" s="27">
        <v>71524.69</v>
      </c>
      <c r="J83" s="27">
        <v>52809.11</v>
      </c>
      <c r="K83" s="25">
        <f t="shared" si="1"/>
        <v>-12781.64</v>
      </c>
    </row>
    <row r="84" spans="1:11" ht="15.95" customHeight="1" x14ac:dyDescent="0.2">
      <c r="A84" s="156" t="s">
        <v>181</v>
      </c>
      <c r="B84" s="369" t="s">
        <v>182</v>
      </c>
      <c r="C84" s="370"/>
      <c r="D84" s="370"/>
      <c r="E84" s="27">
        <v>43335.66</v>
      </c>
      <c r="F84" s="27">
        <v>21045.88</v>
      </c>
      <c r="H84" s="27">
        <v>34555.01</v>
      </c>
      <c r="J84" s="27">
        <v>29826.53</v>
      </c>
      <c r="K84" s="25">
        <f t="shared" si="1"/>
        <v>-13509.130000000005</v>
      </c>
    </row>
    <row r="85" spans="1:11" ht="15.95" customHeight="1" x14ac:dyDescent="0.2">
      <c r="A85" s="156" t="s">
        <v>183</v>
      </c>
      <c r="B85" s="369" t="s">
        <v>184</v>
      </c>
      <c r="C85" s="370"/>
      <c r="D85" s="370"/>
      <c r="E85" s="27">
        <v>0</v>
      </c>
      <c r="F85" s="27">
        <v>10283.299999999999</v>
      </c>
      <c r="H85" s="27">
        <v>10283.299999999999</v>
      </c>
      <c r="J85" s="27">
        <v>0</v>
      </c>
      <c r="K85" s="25">
        <f t="shared" si="1"/>
        <v>0</v>
      </c>
    </row>
    <row r="86" spans="1:11" ht="15.95" customHeight="1" x14ac:dyDescent="0.2">
      <c r="A86" s="156" t="s">
        <v>185</v>
      </c>
      <c r="B86" s="369" t="s">
        <v>186</v>
      </c>
      <c r="C86" s="370"/>
      <c r="D86" s="370"/>
      <c r="E86" s="27">
        <v>238.5</v>
      </c>
      <c r="F86" s="27">
        <v>5087</v>
      </c>
      <c r="H86" s="27">
        <v>2450.5</v>
      </c>
      <c r="J86" s="27">
        <v>2875</v>
      </c>
      <c r="K86" s="25">
        <f t="shared" si="1"/>
        <v>2636.5</v>
      </c>
    </row>
    <row r="87" spans="1:11" ht="15.95" customHeight="1" x14ac:dyDescent="0.2">
      <c r="A87" s="156" t="s">
        <v>187</v>
      </c>
      <c r="B87" s="369" t="s">
        <v>188</v>
      </c>
      <c r="C87" s="370"/>
      <c r="D87" s="370"/>
      <c r="E87" s="27">
        <v>280</v>
      </c>
      <c r="F87" s="27">
        <v>2872</v>
      </c>
      <c r="H87" s="27">
        <v>3079.06</v>
      </c>
      <c r="J87" s="27">
        <v>72.94</v>
      </c>
      <c r="K87" s="25">
        <f t="shared" si="1"/>
        <v>-207.06</v>
      </c>
    </row>
    <row r="88" spans="1:11" ht="15.95" customHeight="1" x14ac:dyDescent="0.2">
      <c r="A88" s="156" t="s">
        <v>189</v>
      </c>
      <c r="B88" s="369" t="s">
        <v>190</v>
      </c>
      <c r="C88" s="370"/>
      <c r="D88" s="370"/>
      <c r="E88" s="27">
        <v>7530.65</v>
      </c>
      <c r="F88" s="27">
        <v>10159.870000000001</v>
      </c>
      <c r="H88" s="27">
        <v>10958.48</v>
      </c>
      <c r="J88" s="27">
        <v>6732.04</v>
      </c>
      <c r="K88" s="25">
        <f t="shared" si="1"/>
        <v>-798.60999999999967</v>
      </c>
    </row>
    <row r="89" spans="1:11" ht="15.95" customHeight="1" x14ac:dyDescent="0.2">
      <c r="A89" s="156" t="s">
        <v>191</v>
      </c>
      <c r="B89" s="369" t="s">
        <v>192</v>
      </c>
      <c r="C89" s="370"/>
      <c r="D89" s="370"/>
      <c r="E89" s="27">
        <v>832.01</v>
      </c>
      <c r="F89" s="27">
        <v>55</v>
      </c>
      <c r="H89" s="27">
        <v>122.78</v>
      </c>
      <c r="J89" s="27">
        <v>764.23</v>
      </c>
      <c r="K89" s="25">
        <f t="shared" si="1"/>
        <v>-67.779999999999973</v>
      </c>
    </row>
    <row r="90" spans="1:11" ht="15.95" customHeight="1" x14ac:dyDescent="0.2">
      <c r="A90" s="156" t="s">
        <v>193</v>
      </c>
      <c r="B90" s="369" t="s">
        <v>194</v>
      </c>
      <c r="C90" s="370"/>
      <c r="D90" s="370"/>
      <c r="E90" s="27">
        <v>9259.65</v>
      </c>
      <c r="F90" s="27">
        <v>9240</v>
      </c>
      <c r="H90" s="27">
        <v>10075.56</v>
      </c>
      <c r="J90" s="27">
        <v>8424.09</v>
      </c>
      <c r="K90" s="25">
        <f t="shared" si="1"/>
        <v>-835.55999999999949</v>
      </c>
    </row>
    <row r="91" spans="1:11" ht="15.95" customHeight="1" x14ac:dyDescent="0.2">
      <c r="A91" s="156" t="s">
        <v>195</v>
      </c>
      <c r="B91" s="369" t="s">
        <v>196</v>
      </c>
      <c r="C91" s="370"/>
      <c r="D91" s="370"/>
      <c r="E91" s="27">
        <v>4114.28</v>
      </c>
      <c r="F91" s="27">
        <v>0</v>
      </c>
      <c r="H91" s="27">
        <v>0</v>
      </c>
      <c r="J91" s="27">
        <v>4114.28</v>
      </c>
      <c r="K91" s="25">
        <f t="shared" si="1"/>
        <v>0</v>
      </c>
    </row>
    <row r="92" spans="1:11" ht="15.95" customHeight="1" x14ac:dyDescent="0.2">
      <c r="A92" s="163">
        <v>117</v>
      </c>
      <c r="B92" s="371" t="s">
        <v>197</v>
      </c>
      <c r="C92" s="372"/>
      <c r="D92" s="372"/>
      <c r="E92" s="29">
        <v>222491.96</v>
      </c>
      <c r="F92" s="29">
        <v>76538.44</v>
      </c>
      <c r="G92" s="164"/>
      <c r="H92" s="29">
        <v>237102.4</v>
      </c>
      <c r="I92" s="164"/>
      <c r="J92" s="29">
        <v>61928</v>
      </c>
      <c r="K92" s="31">
        <f t="shared" si="1"/>
        <v>-160563.96</v>
      </c>
    </row>
    <row r="93" spans="1:11" ht="15.95" customHeight="1" x14ac:dyDescent="0.2">
      <c r="A93" s="156">
        <v>11701</v>
      </c>
      <c r="B93" s="369" t="s">
        <v>197</v>
      </c>
      <c r="C93" s="370"/>
      <c r="D93" s="370"/>
      <c r="E93" s="27">
        <v>222491.96</v>
      </c>
      <c r="F93" s="27">
        <v>76538.44</v>
      </c>
      <c r="H93" s="27">
        <v>237102.4</v>
      </c>
      <c r="J93" s="27">
        <v>61928</v>
      </c>
      <c r="K93" s="25">
        <f t="shared" si="1"/>
        <v>-160563.96</v>
      </c>
    </row>
    <row r="94" spans="1:11" ht="15.95" customHeight="1" x14ac:dyDescent="0.2">
      <c r="A94" s="156">
        <v>1170101</v>
      </c>
      <c r="B94" s="369" t="s">
        <v>198</v>
      </c>
      <c r="C94" s="370"/>
      <c r="D94" s="370"/>
      <c r="E94" s="27">
        <v>206087.82</v>
      </c>
      <c r="F94" s="27">
        <v>64047.48</v>
      </c>
      <c r="H94" s="27">
        <v>211329.98</v>
      </c>
      <c r="J94" s="27">
        <v>58805.32</v>
      </c>
      <c r="K94" s="25">
        <f t="shared" si="1"/>
        <v>-147282.5</v>
      </c>
    </row>
    <row r="95" spans="1:11" ht="15.95" customHeight="1" x14ac:dyDescent="0.2">
      <c r="A95" s="156" t="s">
        <v>199</v>
      </c>
      <c r="B95" s="369" t="s">
        <v>200</v>
      </c>
      <c r="C95" s="370"/>
      <c r="D95" s="370"/>
      <c r="E95" s="27">
        <v>161070</v>
      </c>
      <c r="F95" s="27">
        <v>0</v>
      </c>
      <c r="H95" s="27">
        <v>144963</v>
      </c>
      <c r="J95" s="27">
        <v>16107</v>
      </c>
      <c r="K95" s="25">
        <f t="shared" si="1"/>
        <v>-144963</v>
      </c>
    </row>
    <row r="96" spans="1:11" ht="15.95" customHeight="1" x14ac:dyDescent="0.2">
      <c r="A96" s="156" t="s">
        <v>201</v>
      </c>
      <c r="B96" s="369" t="s">
        <v>202</v>
      </c>
      <c r="C96" s="370"/>
      <c r="D96" s="370"/>
      <c r="E96" s="27">
        <v>45017.82</v>
      </c>
      <c r="F96" s="27">
        <v>64047.48</v>
      </c>
      <c r="H96" s="27">
        <v>66366.98</v>
      </c>
      <c r="J96" s="27">
        <v>42698.32</v>
      </c>
      <c r="K96" s="25">
        <f t="shared" si="1"/>
        <v>-2319.5</v>
      </c>
    </row>
    <row r="97" spans="1:11" ht="15.95" customHeight="1" x14ac:dyDescent="0.2">
      <c r="A97" s="156">
        <v>1170102</v>
      </c>
      <c r="B97" s="369" t="s">
        <v>203</v>
      </c>
      <c r="C97" s="370"/>
      <c r="D97" s="370"/>
      <c r="E97" s="27">
        <v>16404.14</v>
      </c>
      <c r="F97" s="27">
        <v>440</v>
      </c>
      <c r="H97" s="27">
        <v>16734.169999999998</v>
      </c>
      <c r="J97" s="27">
        <v>109.97</v>
      </c>
      <c r="K97" s="25">
        <f t="shared" si="1"/>
        <v>-16294.17</v>
      </c>
    </row>
    <row r="98" spans="1:11" ht="15.95" customHeight="1" x14ac:dyDescent="0.2">
      <c r="A98" s="156" t="s">
        <v>1447</v>
      </c>
      <c r="B98" s="369" t="s">
        <v>1448</v>
      </c>
      <c r="C98" s="370"/>
      <c r="D98" s="370"/>
      <c r="E98" s="27">
        <v>339.5</v>
      </c>
      <c r="F98" s="27">
        <v>440</v>
      </c>
      <c r="H98" s="27">
        <v>669.53</v>
      </c>
      <c r="J98" s="27">
        <v>109.97</v>
      </c>
      <c r="K98" s="25">
        <f t="shared" si="1"/>
        <v>-229.53</v>
      </c>
    </row>
    <row r="99" spans="1:11" ht="15.95" customHeight="1" x14ac:dyDescent="0.2">
      <c r="A99" s="156" t="s">
        <v>204</v>
      </c>
      <c r="B99" s="369" t="s">
        <v>205</v>
      </c>
      <c r="C99" s="370"/>
      <c r="D99" s="370"/>
      <c r="E99" s="27">
        <v>16064.64</v>
      </c>
      <c r="F99" s="27">
        <v>0</v>
      </c>
      <c r="H99" s="27">
        <v>16064.64</v>
      </c>
      <c r="J99" s="27">
        <v>0</v>
      </c>
      <c r="K99" s="25">
        <f t="shared" si="1"/>
        <v>-16064.64</v>
      </c>
    </row>
    <row r="100" spans="1:11" ht="15.95" customHeight="1" x14ac:dyDescent="0.2">
      <c r="A100" s="156">
        <v>1170103</v>
      </c>
      <c r="B100" s="369" t="s">
        <v>206</v>
      </c>
      <c r="C100" s="370"/>
      <c r="D100" s="370"/>
      <c r="E100" s="27">
        <v>0</v>
      </c>
      <c r="F100" s="27">
        <v>12050.96</v>
      </c>
      <c r="H100" s="27">
        <v>9038.25</v>
      </c>
      <c r="J100" s="27">
        <v>3012.71</v>
      </c>
      <c r="K100" s="25">
        <f t="shared" si="1"/>
        <v>3012.71</v>
      </c>
    </row>
    <row r="101" spans="1:11" ht="15.95" customHeight="1" x14ac:dyDescent="0.2">
      <c r="A101" s="156" t="s">
        <v>207</v>
      </c>
      <c r="B101" s="369" t="s">
        <v>208</v>
      </c>
      <c r="C101" s="370"/>
      <c r="D101" s="370"/>
      <c r="E101" s="27">
        <v>0</v>
      </c>
      <c r="F101" s="27">
        <v>12050.96</v>
      </c>
      <c r="H101" s="27">
        <v>9038.25</v>
      </c>
      <c r="J101" s="27">
        <v>3012.71</v>
      </c>
      <c r="K101" s="25">
        <f t="shared" si="1"/>
        <v>3012.71</v>
      </c>
    </row>
    <row r="102" spans="1:11" ht="15.95" customHeight="1" x14ac:dyDescent="0.2">
      <c r="A102" s="156">
        <v>12</v>
      </c>
      <c r="B102" s="369" t="s">
        <v>209</v>
      </c>
      <c r="C102" s="370"/>
      <c r="D102" s="370"/>
      <c r="E102" s="27">
        <v>325188005.11000001</v>
      </c>
      <c r="F102" s="27">
        <v>37200821.039999999</v>
      </c>
      <c r="H102" s="27">
        <v>55292421.07</v>
      </c>
      <c r="J102" s="27">
        <v>307096405.07999998</v>
      </c>
      <c r="K102" s="25">
        <f t="shared" si="1"/>
        <v>-18091600.030000031</v>
      </c>
    </row>
    <row r="103" spans="1:11" ht="15.95" customHeight="1" x14ac:dyDescent="0.2">
      <c r="A103" s="156">
        <v>121</v>
      </c>
      <c r="B103" s="369" t="s">
        <v>210</v>
      </c>
      <c r="C103" s="370"/>
      <c r="D103" s="370"/>
      <c r="E103" s="27">
        <v>817373.97</v>
      </c>
      <c r="F103" s="27">
        <v>157016.1</v>
      </c>
      <c r="H103" s="27">
        <v>264687.37</v>
      </c>
      <c r="J103" s="27">
        <v>709702.7</v>
      </c>
      <c r="K103" s="25">
        <f t="shared" si="1"/>
        <v>-107671.27000000002</v>
      </c>
    </row>
    <row r="104" spans="1:11" ht="15.95" customHeight="1" x14ac:dyDescent="0.2">
      <c r="A104" s="163">
        <v>12101</v>
      </c>
      <c r="B104" s="371" t="s">
        <v>211</v>
      </c>
      <c r="C104" s="372"/>
      <c r="D104" s="372"/>
      <c r="E104" s="29">
        <v>739127.8</v>
      </c>
      <c r="F104" s="29">
        <v>157016.1</v>
      </c>
      <c r="G104" s="164"/>
      <c r="H104" s="29">
        <v>259828.67</v>
      </c>
      <c r="I104" s="164"/>
      <c r="J104" s="29">
        <v>636315.23</v>
      </c>
      <c r="K104" s="31">
        <f t="shared" si="1"/>
        <v>-102812.57000000007</v>
      </c>
    </row>
    <row r="105" spans="1:11" ht="15.95" customHeight="1" x14ac:dyDescent="0.2">
      <c r="A105" s="156">
        <v>1210101</v>
      </c>
      <c r="B105" s="369" t="s">
        <v>212</v>
      </c>
      <c r="C105" s="370"/>
      <c r="D105" s="370"/>
      <c r="E105" s="27">
        <v>337890.82</v>
      </c>
      <c r="F105" s="27">
        <v>94962.14</v>
      </c>
      <c r="H105" s="27">
        <v>93546.559999999998</v>
      </c>
      <c r="J105" s="27">
        <v>339306.4</v>
      </c>
      <c r="K105" s="25">
        <f t="shared" si="1"/>
        <v>1415.5800000000163</v>
      </c>
    </row>
    <row r="106" spans="1:11" ht="15.95" customHeight="1" x14ac:dyDescent="0.2">
      <c r="A106" s="156" t="s">
        <v>213</v>
      </c>
      <c r="B106" s="369" t="s">
        <v>214</v>
      </c>
      <c r="C106" s="370"/>
      <c r="D106" s="370"/>
      <c r="E106" s="27">
        <v>16601.04</v>
      </c>
      <c r="F106" s="27">
        <v>0</v>
      </c>
      <c r="H106" s="27">
        <v>0</v>
      </c>
      <c r="J106" s="27">
        <v>16601.04</v>
      </c>
      <c r="K106" s="25">
        <f t="shared" si="1"/>
        <v>0</v>
      </c>
    </row>
    <row r="107" spans="1:11" ht="15.95" customHeight="1" x14ac:dyDescent="0.2">
      <c r="A107" s="156" t="s">
        <v>1449</v>
      </c>
      <c r="B107" s="369" t="s">
        <v>1450</v>
      </c>
      <c r="C107" s="370"/>
      <c r="D107" s="370"/>
      <c r="E107" s="27">
        <v>5889.5</v>
      </c>
      <c r="F107" s="27">
        <v>0</v>
      </c>
      <c r="H107" s="27">
        <v>5889.5</v>
      </c>
      <c r="J107" s="27">
        <v>0</v>
      </c>
      <c r="K107" s="25">
        <f t="shared" si="1"/>
        <v>-5889.5</v>
      </c>
    </row>
    <row r="108" spans="1:11" ht="15.95" customHeight="1" x14ac:dyDescent="0.2">
      <c r="A108" s="156" t="s">
        <v>1451</v>
      </c>
      <c r="B108" s="369" t="s">
        <v>1452</v>
      </c>
      <c r="C108" s="370"/>
      <c r="D108" s="370"/>
      <c r="E108" s="27">
        <v>6290</v>
      </c>
      <c r="F108" s="27">
        <v>0</v>
      </c>
      <c r="H108" s="27">
        <v>6290</v>
      </c>
      <c r="J108" s="27">
        <v>0</v>
      </c>
      <c r="K108" s="25">
        <f t="shared" si="1"/>
        <v>-6290</v>
      </c>
    </row>
    <row r="109" spans="1:11" ht="15.95" customHeight="1" x14ac:dyDescent="0.2">
      <c r="A109" s="156" t="s">
        <v>1453</v>
      </c>
      <c r="B109" s="369" t="s">
        <v>1454</v>
      </c>
      <c r="C109" s="370"/>
      <c r="D109" s="370"/>
      <c r="E109" s="27">
        <v>6598.21</v>
      </c>
      <c r="F109" s="27">
        <v>0</v>
      </c>
      <c r="H109" s="27">
        <v>6598.21</v>
      </c>
      <c r="J109" s="27">
        <v>0</v>
      </c>
      <c r="K109" s="25">
        <f t="shared" si="1"/>
        <v>-6598.21</v>
      </c>
    </row>
    <row r="110" spans="1:11" ht="15.95" customHeight="1" x14ac:dyDescent="0.2">
      <c r="A110" s="156" t="s">
        <v>1455</v>
      </c>
      <c r="B110" s="369" t="s">
        <v>1456</v>
      </c>
      <c r="C110" s="370"/>
      <c r="D110" s="370"/>
      <c r="E110" s="27">
        <v>6598.21</v>
      </c>
      <c r="F110" s="27">
        <v>0</v>
      </c>
      <c r="H110" s="27">
        <v>0</v>
      </c>
      <c r="J110" s="27">
        <v>6598.21</v>
      </c>
      <c r="K110" s="25">
        <f t="shared" si="1"/>
        <v>0</v>
      </c>
    </row>
    <row r="111" spans="1:11" ht="15.95" customHeight="1" x14ac:dyDescent="0.2">
      <c r="A111" s="156" t="s">
        <v>215</v>
      </c>
      <c r="B111" s="369" t="s">
        <v>216</v>
      </c>
      <c r="C111" s="370"/>
      <c r="D111" s="370"/>
      <c r="E111" s="27">
        <v>8183.06</v>
      </c>
      <c r="F111" s="27">
        <v>0</v>
      </c>
      <c r="H111" s="27">
        <v>0</v>
      </c>
      <c r="J111" s="27">
        <v>8183.06</v>
      </c>
      <c r="K111" s="25">
        <f t="shared" si="1"/>
        <v>0</v>
      </c>
    </row>
    <row r="112" spans="1:11" ht="15.95" customHeight="1" x14ac:dyDescent="0.2">
      <c r="A112" s="156" t="s">
        <v>217</v>
      </c>
      <c r="B112" s="369" t="s">
        <v>218</v>
      </c>
      <c r="C112" s="370"/>
      <c r="D112" s="370"/>
      <c r="E112" s="27">
        <v>27985.95</v>
      </c>
      <c r="F112" s="27">
        <v>9513.16</v>
      </c>
      <c r="H112" s="27">
        <v>0</v>
      </c>
      <c r="J112" s="27">
        <v>37499.11</v>
      </c>
      <c r="K112" s="25">
        <f t="shared" si="1"/>
        <v>9513.16</v>
      </c>
    </row>
    <row r="113" spans="1:11" ht="27.95" customHeight="1" x14ac:dyDescent="0.2">
      <c r="A113" s="156" t="s">
        <v>1457</v>
      </c>
      <c r="B113" s="369" t="s">
        <v>1458</v>
      </c>
      <c r="C113" s="370"/>
      <c r="D113" s="370"/>
      <c r="E113" s="27">
        <v>8959.6299999999992</v>
      </c>
      <c r="F113" s="27">
        <v>0</v>
      </c>
      <c r="H113" s="27">
        <v>0</v>
      </c>
      <c r="J113" s="27">
        <v>8959.6299999999992</v>
      </c>
      <c r="K113" s="25">
        <f t="shared" si="1"/>
        <v>0</v>
      </c>
    </row>
    <row r="114" spans="1:11" ht="15.95" customHeight="1" x14ac:dyDescent="0.2">
      <c r="A114" s="156" t="s">
        <v>1459</v>
      </c>
      <c r="B114" s="369" t="s">
        <v>1460</v>
      </c>
      <c r="C114" s="370"/>
      <c r="D114" s="370"/>
      <c r="E114" s="27">
        <v>9189</v>
      </c>
      <c r="F114" s="27">
        <v>0</v>
      </c>
      <c r="H114" s="27">
        <v>9189</v>
      </c>
      <c r="J114" s="27">
        <v>0</v>
      </c>
      <c r="K114" s="25">
        <f t="shared" si="1"/>
        <v>-9189</v>
      </c>
    </row>
    <row r="115" spans="1:11" ht="15.95" customHeight="1" x14ac:dyDescent="0.2">
      <c r="A115" s="156" t="s">
        <v>219</v>
      </c>
      <c r="B115" s="369" t="s">
        <v>220</v>
      </c>
      <c r="C115" s="370"/>
      <c r="D115" s="370"/>
      <c r="E115" s="27">
        <v>9189</v>
      </c>
      <c r="F115" s="27">
        <v>21152.45</v>
      </c>
      <c r="H115" s="27">
        <v>0</v>
      </c>
      <c r="J115" s="27">
        <v>30341.45</v>
      </c>
      <c r="K115" s="25">
        <f t="shared" si="1"/>
        <v>21152.45</v>
      </c>
    </row>
    <row r="116" spans="1:11" ht="15.95" customHeight="1" x14ac:dyDescent="0.2">
      <c r="A116" s="156" t="s">
        <v>221</v>
      </c>
      <c r="B116" s="369" t="s">
        <v>222</v>
      </c>
      <c r="C116" s="370"/>
      <c r="D116" s="370"/>
      <c r="E116" s="27">
        <v>28215.32</v>
      </c>
      <c r="F116" s="27">
        <v>5784.68</v>
      </c>
      <c r="H116" s="27">
        <v>9310.57</v>
      </c>
      <c r="J116" s="27">
        <v>24689.43</v>
      </c>
      <c r="K116" s="25">
        <f t="shared" si="1"/>
        <v>-3525.8899999999994</v>
      </c>
    </row>
    <row r="117" spans="1:11" ht="15.95" customHeight="1" x14ac:dyDescent="0.2">
      <c r="A117" s="156" t="s">
        <v>223</v>
      </c>
      <c r="B117" s="369" t="s">
        <v>224</v>
      </c>
      <c r="C117" s="370"/>
      <c r="D117" s="370"/>
      <c r="E117" s="27">
        <v>30000</v>
      </c>
      <c r="F117" s="27">
        <v>0</v>
      </c>
      <c r="H117" s="27">
        <v>0</v>
      </c>
      <c r="J117" s="27">
        <v>30000</v>
      </c>
      <c r="K117" s="25">
        <f t="shared" si="1"/>
        <v>0</v>
      </c>
    </row>
    <row r="118" spans="1:11" ht="15.95" customHeight="1" x14ac:dyDescent="0.2">
      <c r="A118" s="156" t="s">
        <v>225</v>
      </c>
      <c r="B118" s="369" t="s">
        <v>226</v>
      </c>
      <c r="C118" s="370"/>
      <c r="D118" s="370"/>
      <c r="E118" s="27">
        <v>9189</v>
      </c>
      <c r="F118" s="27">
        <v>0</v>
      </c>
      <c r="H118" s="27">
        <v>0</v>
      </c>
      <c r="J118" s="27">
        <v>9189</v>
      </c>
      <c r="K118" s="25">
        <f t="shared" si="1"/>
        <v>0</v>
      </c>
    </row>
    <row r="119" spans="1:11" ht="15.95" customHeight="1" x14ac:dyDescent="0.2">
      <c r="A119" s="156" t="s">
        <v>227</v>
      </c>
      <c r="B119" s="369" t="s">
        <v>228</v>
      </c>
      <c r="C119" s="370"/>
      <c r="D119" s="370"/>
      <c r="E119" s="27">
        <v>9189</v>
      </c>
      <c r="F119" s="27">
        <v>28854.83</v>
      </c>
      <c r="H119" s="27">
        <v>0</v>
      </c>
      <c r="J119" s="27">
        <v>38043.83</v>
      </c>
      <c r="K119" s="25">
        <f t="shared" si="1"/>
        <v>28854.83</v>
      </c>
    </row>
    <row r="120" spans="1:11" ht="15.95" customHeight="1" x14ac:dyDescent="0.2">
      <c r="A120" s="156" t="s">
        <v>229</v>
      </c>
      <c r="B120" s="369" t="s">
        <v>230</v>
      </c>
      <c r="C120" s="370"/>
      <c r="D120" s="370"/>
      <c r="E120" s="27">
        <v>28215.32</v>
      </c>
      <c r="F120" s="27">
        <v>9513.16</v>
      </c>
      <c r="H120" s="27">
        <v>0</v>
      </c>
      <c r="J120" s="27">
        <v>37728.480000000003</v>
      </c>
      <c r="K120" s="25">
        <f t="shared" si="1"/>
        <v>9513.1600000000035</v>
      </c>
    </row>
    <row r="121" spans="1:11" ht="15.95" customHeight="1" x14ac:dyDescent="0.2">
      <c r="A121" s="156" t="s">
        <v>231</v>
      </c>
      <c r="B121" s="369" t="s">
        <v>232</v>
      </c>
      <c r="C121" s="370"/>
      <c r="D121" s="370"/>
      <c r="E121" s="27">
        <v>6000</v>
      </c>
      <c r="F121" s="27">
        <v>0</v>
      </c>
      <c r="H121" s="27">
        <v>0</v>
      </c>
      <c r="J121" s="27">
        <v>6000</v>
      </c>
      <c r="K121" s="25">
        <f t="shared" si="1"/>
        <v>0</v>
      </c>
    </row>
    <row r="122" spans="1:11" ht="15.95" customHeight="1" x14ac:dyDescent="0.2">
      <c r="A122" s="156" t="s">
        <v>233</v>
      </c>
      <c r="B122" s="369" t="s">
        <v>234</v>
      </c>
      <c r="C122" s="370"/>
      <c r="D122" s="370"/>
      <c r="E122" s="27">
        <v>16175.6</v>
      </c>
      <c r="F122" s="27">
        <v>0</v>
      </c>
      <c r="H122" s="27">
        <v>0</v>
      </c>
      <c r="J122" s="27">
        <v>16175.6</v>
      </c>
      <c r="K122" s="25">
        <f t="shared" si="1"/>
        <v>0</v>
      </c>
    </row>
    <row r="123" spans="1:11" ht="15.95" customHeight="1" x14ac:dyDescent="0.2">
      <c r="A123" s="156" t="s">
        <v>235</v>
      </c>
      <c r="B123" s="369" t="s">
        <v>236</v>
      </c>
      <c r="C123" s="370"/>
      <c r="D123" s="370"/>
      <c r="E123" s="27">
        <v>9189</v>
      </c>
      <c r="F123" s="27">
        <v>0</v>
      </c>
      <c r="H123" s="27">
        <v>0</v>
      </c>
      <c r="J123" s="27">
        <v>9189</v>
      </c>
      <c r="K123" s="25">
        <f t="shared" ref="K123:K180" si="2">J123-E123</f>
        <v>0</v>
      </c>
    </row>
    <row r="124" spans="1:11" ht="15.95" customHeight="1" x14ac:dyDescent="0.2">
      <c r="A124" s="156" t="s">
        <v>237</v>
      </c>
      <c r="B124" s="369" t="s">
        <v>238</v>
      </c>
      <c r="C124" s="370"/>
      <c r="D124" s="370"/>
      <c r="E124" s="27">
        <v>9189</v>
      </c>
      <c r="F124" s="27">
        <v>0</v>
      </c>
      <c r="H124" s="27">
        <v>0</v>
      </c>
      <c r="J124" s="27">
        <v>9189</v>
      </c>
      <c r="K124" s="25">
        <f t="shared" si="2"/>
        <v>0</v>
      </c>
    </row>
    <row r="125" spans="1:11" ht="15.95" customHeight="1" x14ac:dyDescent="0.2">
      <c r="A125" s="156" t="s">
        <v>239</v>
      </c>
      <c r="B125" s="369" t="s">
        <v>240</v>
      </c>
      <c r="C125" s="370"/>
      <c r="D125" s="370"/>
      <c r="E125" s="27">
        <v>9513.16</v>
      </c>
      <c r="F125" s="27">
        <v>486.84</v>
      </c>
      <c r="H125" s="27">
        <v>0</v>
      </c>
      <c r="J125" s="27">
        <v>10000</v>
      </c>
      <c r="K125" s="25">
        <f t="shared" si="2"/>
        <v>486.84000000000015</v>
      </c>
    </row>
    <row r="126" spans="1:11" ht="15.95" customHeight="1" x14ac:dyDescent="0.2">
      <c r="A126" s="156" t="s">
        <v>241</v>
      </c>
      <c r="B126" s="369" t="s">
        <v>242</v>
      </c>
      <c r="C126" s="370"/>
      <c r="D126" s="370"/>
      <c r="E126" s="27">
        <v>2236.2199999999998</v>
      </c>
      <c r="F126" s="27">
        <v>0</v>
      </c>
      <c r="H126" s="27">
        <v>0</v>
      </c>
      <c r="J126" s="27">
        <v>2236.2199999999998</v>
      </c>
      <c r="K126" s="25">
        <f t="shared" si="2"/>
        <v>0</v>
      </c>
    </row>
    <row r="127" spans="1:11" ht="15.95" customHeight="1" x14ac:dyDescent="0.2">
      <c r="A127" s="156" t="s">
        <v>245</v>
      </c>
      <c r="B127" s="369" t="s">
        <v>246</v>
      </c>
      <c r="C127" s="370"/>
      <c r="D127" s="370"/>
      <c r="E127" s="27">
        <v>9513.16</v>
      </c>
      <c r="F127" s="27">
        <v>0</v>
      </c>
      <c r="H127" s="27">
        <v>0</v>
      </c>
      <c r="J127" s="27">
        <v>9513.16</v>
      </c>
      <c r="K127" s="25">
        <f t="shared" si="2"/>
        <v>0</v>
      </c>
    </row>
    <row r="128" spans="1:11" ht="15.95" customHeight="1" x14ac:dyDescent="0.2">
      <c r="A128" s="156" t="s">
        <v>247</v>
      </c>
      <c r="B128" s="369" t="s">
        <v>248</v>
      </c>
      <c r="C128" s="370"/>
      <c r="D128" s="370"/>
      <c r="E128" s="27">
        <v>9513.16</v>
      </c>
      <c r="F128" s="27">
        <v>0</v>
      </c>
      <c r="H128" s="27">
        <v>0</v>
      </c>
      <c r="J128" s="27">
        <v>9513.16</v>
      </c>
      <c r="K128" s="25">
        <f t="shared" si="2"/>
        <v>0</v>
      </c>
    </row>
    <row r="129" spans="1:11" ht="15.95" customHeight="1" x14ac:dyDescent="0.2">
      <c r="A129" s="156" t="s">
        <v>1593</v>
      </c>
      <c r="B129" s="369" t="s">
        <v>263</v>
      </c>
      <c r="C129" s="370"/>
      <c r="D129" s="370"/>
      <c r="E129" s="27">
        <v>56269.279999999999</v>
      </c>
      <c r="F129" s="27">
        <v>0</v>
      </c>
      <c r="H129" s="27">
        <v>56269.279999999999</v>
      </c>
      <c r="J129" s="27">
        <v>0</v>
      </c>
      <c r="K129" s="25">
        <f t="shared" si="2"/>
        <v>-56269.279999999999</v>
      </c>
    </row>
    <row r="130" spans="1:11" ht="15.95" customHeight="1" x14ac:dyDescent="0.2">
      <c r="A130" s="156" t="s">
        <v>249</v>
      </c>
      <c r="B130" s="369" t="s">
        <v>250</v>
      </c>
      <c r="C130" s="370"/>
      <c r="D130" s="370"/>
      <c r="E130" s="27">
        <v>0</v>
      </c>
      <c r="F130" s="27">
        <v>19657.02</v>
      </c>
      <c r="H130" s="27">
        <v>0</v>
      </c>
      <c r="J130" s="27">
        <v>19657.02</v>
      </c>
      <c r="K130" s="25">
        <f t="shared" si="2"/>
        <v>19657.02</v>
      </c>
    </row>
    <row r="131" spans="1:11" ht="15.95" customHeight="1" x14ac:dyDescent="0.2">
      <c r="A131" s="156">
        <v>1210102</v>
      </c>
      <c r="B131" s="369" t="s">
        <v>253</v>
      </c>
      <c r="C131" s="370"/>
      <c r="D131" s="370"/>
      <c r="E131" s="27">
        <v>385082.01</v>
      </c>
      <c r="F131" s="27">
        <v>62053.96</v>
      </c>
      <c r="H131" s="27">
        <v>156552.14000000001</v>
      </c>
      <c r="J131" s="27">
        <v>290583.83</v>
      </c>
      <c r="K131" s="25">
        <f t="shared" si="2"/>
        <v>-94498.18</v>
      </c>
    </row>
    <row r="132" spans="1:11" ht="15.95" customHeight="1" x14ac:dyDescent="0.2">
      <c r="A132" s="156" t="s">
        <v>254</v>
      </c>
      <c r="B132" s="369" t="s">
        <v>255</v>
      </c>
      <c r="C132" s="370"/>
      <c r="D132" s="370"/>
      <c r="E132" s="27">
        <v>83470.55</v>
      </c>
      <c r="F132" s="27">
        <v>0</v>
      </c>
      <c r="H132" s="27">
        <v>0</v>
      </c>
      <c r="J132" s="27">
        <v>83470.55</v>
      </c>
      <c r="K132" s="25">
        <f t="shared" si="2"/>
        <v>0</v>
      </c>
    </row>
    <row r="133" spans="1:11" ht="15.95" customHeight="1" x14ac:dyDescent="0.2">
      <c r="A133" s="156" t="s">
        <v>1461</v>
      </c>
      <c r="B133" s="369" t="s">
        <v>1462</v>
      </c>
      <c r="C133" s="370"/>
      <c r="D133" s="370"/>
      <c r="E133" s="27">
        <v>85454.88</v>
      </c>
      <c r="F133" s="27">
        <v>0</v>
      </c>
      <c r="H133" s="27">
        <v>85454.88</v>
      </c>
      <c r="J133" s="27">
        <v>0</v>
      </c>
      <c r="K133" s="25">
        <f t="shared" si="2"/>
        <v>-85454.88</v>
      </c>
    </row>
    <row r="134" spans="1:11" ht="15.95" customHeight="1" x14ac:dyDescent="0.2">
      <c r="A134" s="156" t="s">
        <v>256</v>
      </c>
      <c r="B134" s="369" t="s">
        <v>257</v>
      </c>
      <c r="C134" s="370"/>
      <c r="D134" s="370"/>
      <c r="E134" s="27">
        <v>56164.26</v>
      </c>
      <c r="F134" s="27">
        <v>0</v>
      </c>
      <c r="H134" s="27">
        <v>0</v>
      </c>
      <c r="J134" s="27">
        <v>56164.26</v>
      </c>
      <c r="K134" s="25">
        <f t="shared" si="2"/>
        <v>0</v>
      </c>
    </row>
    <row r="135" spans="1:11" ht="15.95" customHeight="1" x14ac:dyDescent="0.2">
      <c r="A135" s="156" t="s">
        <v>1463</v>
      </c>
      <c r="B135" s="369" t="s">
        <v>1464</v>
      </c>
      <c r="C135" s="370"/>
      <c r="D135" s="370"/>
      <c r="E135" s="27">
        <v>7376.34</v>
      </c>
      <c r="F135" s="27">
        <v>0</v>
      </c>
      <c r="H135" s="27">
        <v>7376.34</v>
      </c>
      <c r="J135" s="27">
        <v>0</v>
      </c>
      <c r="K135" s="25">
        <f t="shared" si="2"/>
        <v>-7376.34</v>
      </c>
    </row>
    <row r="136" spans="1:11" ht="15.95" customHeight="1" x14ac:dyDescent="0.2">
      <c r="A136" s="156" t="s">
        <v>1465</v>
      </c>
      <c r="B136" s="369" t="s">
        <v>1466</v>
      </c>
      <c r="C136" s="370"/>
      <c r="D136" s="370"/>
      <c r="E136" s="27">
        <v>86201.25</v>
      </c>
      <c r="F136" s="27">
        <v>0</v>
      </c>
      <c r="H136" s="27">
        <v>0</v>
      </c>
      <c r="J136" s="27">
        <v>86201.25</v>
      </c>
      <c r="K136" s="25">
        <f t="shared" si="2"/>
        <v>0</v>
      </c>
    </row>
    <row r="137" spans="1:11" ht="15.95" customHeight="1" x14ac:dyDescent="0.2">
      <c r="A137" s="156" t="s">
        <v>1467</v>
      </c>
      <c r="B137" s="369" t="s">
        <v>1468</v>
      </c>
      <c r="C137" s="370"/>
      <c r="D137" s="370"/>
      <c r="E137" s="27">
        <v>19561.36</v>
      </c>
      <c r="F137" s="27">
        <v>0</v>
      </c>
      <c r="H137" s="27">
        <v>19561.36</v>
      </c>
      <c r="J137" s="27">
        <v>0</v>
      </c>
      <c r="K137" s="25">
        <f t="shared" si="2"/>
        <v>-19561.36</v>
      </c>
    </row>
    <row r="138" spans="1:11" ht="15.95" customHeight="1" x14ac:dyDescent="0.2">
      <c r="A138" s="156" t="s">
        <v>258</v>
      </c>
      <c r="B138" s="369" t="s">
        <v>259</v>
      </c>
      <c r="C138" s="370"/>
      <c r="D138" s="370"/>
      <c r="E138" s="27">
        <v>5948.57</v>
      </c>
      <c r="F138" s="27">
        <v>0</v>
      </c>
      <c r="H138" s="27">
        <v>0</v>
      </c>
      <c r="J138" s="27">
        <v>5948.57</v>
      </c>
      <c r="K138" s="25">
        <f t="shared" si="2"/>
        <v>0</v>
      </c>
    </row>
    <row r="139" spans="1:11" ht="15.95" customHeight="1" x14ac:dyDescent="0.2">
      <c r="A139" s="156" t="s">
        <v>260</v>
      </c>
      <c r="B139" s="369" t="s">
        <v>261</v>
      </c>
      <c r="C139" s="370"/>
      <c r="D139" s="370"/>
      <c r="E139" s="27">
        <v>2529.92</v>
      </c>
      <c r="F139" s="27">
        <v>0</v>
      </c>
      <c r="H139" s="27">
        <v>0</v>
      </c>
      <c r="J139" s="27">
        <v>2529.92</v>
      </c>
      <c r="K139" s="25">
        <f t="shared" si="2"/>
        <v>0</v>
      </c>
    </row>
    <row r="140" spans="1:11" ht="15.95" customHeight="1" x14ac:dyDescent="0.2">
      <c r="A140" s="156" t="s">
        <v>1594</v>
      </c>
      <c r="B140" s="369" t="s">
        <v>222</v>
      </c>
      <c r="C140" s="370"/>
      <c r="D140" s="370"/>
      <c r="E140" s="27">
        <v>0</v>
      </c>
      <c r="F140" s="27">
        <v>5784.68</v>
      </c>
      <c r="H140" s="27">
        <v>5784.68</v>
      </c>
      <c r="J140" s="27">
        <v>0</v>
      </c>
      <c r="K140" s="25">
        <f t="shared" si="2"/>
        <v>0</v>
      </c>
    </row>
    <row r="141" spans="1:11" ht="15.95" customHeight="1" x14ac:dyDescent="0.2">
      <c r="A141" s="156" t="s">
        <v>1469</v>
      </c>
      <c r="B141" s="369" t="s">
        <v>1470</v>
      </c>
      <c r="C141" s="370"/>
      <c r="D141" s="370"/>
      <c r="E141" s="27">
        <v>38374.879999999997</v>
      </c>
      <c r="F141" s="27">
        <v>0</v>
      </c>
      <c r="H141" s="27">
        <v>38374.879999999997</v>
      </c>
      <c r="J141" s="27">
        <v>0</v>
      </c>
      <c r="K141" s="25">
        <f t="shared" si="2"/>
        <v>-38374.879999999997</v>
      </c>
    </row>
    <row r="142" spans="1:11" ht="15.95" customHeight="1" x14ac:dyDescent="0.2">
      <c r="A142" s="156" t="s">
        <v>262</v>
      </c>
      <c r="B142" s="369" t="s">
        <v>263</v>
      </c>
      <c r="C142" s="370"/>
      <c r="D142" s="370"/>
      <c r="E142" s="27">
        <v>0</v>
      </c>
      <c r="F142" s="27">
        <v>56269.279999999999</v>
      </c>
      <c r="H142" s="27">
        <v>0</v>
      </c>
      <c r="J142" s="27">
        <v>56269.279999999999</v>
      </c>
      <c r="K142" s="25">
        <f t="shared" si="2"/>
        <v>56269.279999999999</v>
      </c>
    </row>
    <row r="143" spans="1:11" ht="15.95" customHeight="1" x14ac:dyDescent="0.2">
      <c r="A143" s="156">
        <v>1210103</v>
      </c>
      <c r="B143" s="369" t="s">
        <v>1471</v>
      </c>
      <c r="C143" s="370"/>
      <c r="D143" s="370"/>
      <c r="E143" s="27">
        <v>9729.9699999999993</v>
      </c>
      <c r="F143" s="27">
        <v>0</v>
      </c>
      <c r="H143" s="27">
        <v>9729.9699999999993</v>
      </c>
      <c r="J143" s="27">
        <v>0</v>
      </c>
      <c r="K143" s="25">
        <f t="shared" si="2"/>
        <v>-9729.9699999999993</v>
      </c>
    </row>
    <row r="144" spans="1:11" ht="15.95" customHeight="1" x14ac:dyDescent="0.2">
      <c r="A144" s="156" t="s">
        <v>1472</v>
      </c>
      <c r="B144" s="369" t="s">
        <v>1473</v>
      </c>
      <c r="C144" s="370"/>
      <c r="D144" s="370"/>
      <c r="E144" s="27">
        <v>9729.9699999999993</v>
      </c>
      <c r="F144" s="27">
        <v>0</v>
      </c>
      <c r="H144" s="27">
        <v>9729.9699999999993</v>
      </c>
      <c r="J144" s="27">
        <v>0</v>
      </c>
      <c r="K144" s="25">
        <f t="shared" si="2"/>
        <v>-9729.9699999999993</v>
      </c>
    </row>
    <row r="145" spans="1:11" ht="15.95" customHeight="1" x14ac:dyDescent="0.2">
      <c r="A145" s="156">
        <v>1210106</v>
      </c>
      <c r="B145" s="369" t="s">
        <v>264</v>
      </c>
      <c r="C145" s="370"/>
      <c r="D145" s="370"/>
      <c r="E145" s="27">
        <v>6425</v>
      </c>
      <c r="F145" s="27">
        <v>0</v>
      </c>
      <c r="H145" s="27">
        <v>0</v>
      </c>
      <c r="J145" s="27">
        <v>6425</v>
      </c>
      <c r="K145" s="25">
        <f t="shared" si="2"/>
        <v>0</v>
      </c>
    </row>
    <row r="146" spans="1:11" ht="15.95" customHeight="1" x14ac:dyDescent="0.2">
      <c r="A146" s="156" t="s">
        <v>1474</v>
      </c>
      <c r="B146" s="369" t="s">
        <v>1475</v>
      </c>
      <c r="C146" s="370"/>
      <c r="D146" s="370"/>
      <c r="E146" s="27">
        <v>6425</v>
      </c>
      <c r="F146" s="27">
        <v>0</v>
      </c>
      <c r="H146" s="27">
        <v>0</v>
      </c>
      <c r="J146" s="27">
        <v>6425</v>
      </c>
      <c r="K146" s="25">
        <f t="shared" si="2"/>
        <v>0</v>
      </c>
    </row>
    <row r="147" spans="1:11" ht="15.95" customHeight="1" x14ac:dyDescent="0.2">
      <c r="A147" s="163">
        <v>12102</v>
      </c>
      <c r="B147" s="371" t="s">
        <v>96</v>
      </c>
      <c r="C147" s="372"/>
      <c r="D147" s="372"/>
      <c r="E147" s="29">
        <v>78246.17</v>
      </c>
      <c r="F147" s="29">
        <v>0</v>
      </c>
      <c r="G147" s="164"/>
      <c r="H147" s="29">
        <v>4858.7</v>
      </c>
      <c r="I147" s="164"/>
      <c r="J147" s="29">
        <v>73387.47</v>
      </c>
      <c r="K147" s="31">
        <f t="shared" si="2"/>
        <v>-4858.6999999999971</v>
      </c>
    </row>
    <row r="148" spans="1:11" ht="15.95" customHeight="1" x14ac:dyDescent="0.2">
      <c r="A148" s="156">
        <v>1210201</v>
      </c>
      <c r="B148" s="369" t="s">
        <v>97</v>
      </c>
      <c r="C148" s="370"/>
      <c r="D148" s="370"/>
      <c r="E148" s="27">
        <v>78246.17</v>
      </c>
      <c r="F148" s="27">
        <v>0</v>
      </c>
      <c r="H148" s="27">
        <v>4858.7</v>
      </c>
      <c r="J148" s="27">
        <v>73387.47</v>
      </c>
      <c r="K148" s="25">
        <f t="shared" si="2"/>
        <v>-4858.6999999999971</v>
      </c>
    </row>
    <row r="149" spans="1:11" ht="15.95" customHeight="1" x14ac:dyDescent="0.2">
      <c r="A149" s="156" t="s">
        <v>267</v>
      </c>
      <c r="B149" s="369" t="s">
        <v>102</v>
      </c>
      <c r="C149" s="370"/>
      <c r="D149" s="370"/>
      <c r="E149" s="27">
        <v>73387.47</v>
      </c>
      <c r="F149" s="27">
        <v>0</v>
      </c>
      <c r="H149" s="27">
        <v>0</v>
      </c>
      <c r="J149" s="27">
        <v>73387.47</v>
      </c>
      <c r="K149" s="25">
        <f t="shared" si="2"/>
        <v>0</v>
      </c>
    </row>
    <row r="150" spans="1:11" ht="15.95" customHeight="1" x14ac:dyDescent="0.2">
      <c r="A150" s="156" t="s">
        <v>1476</v>
      </c>
      <c r="B150" s="369" t="s">
        <v>1477</v>
      </c>
      <c r="C150" s="370"/>
      <c r="D150" s="370"/>
      <c r="E150" s="27">
        <v>4858.7</v>
      </c>
      <c r="F150" s="27">
        <v>0</v>
      </c>
      <c r="H150" s="27">
        <v>4858.7</v>
      </c>
      <c r="J150" s="27">
        <v>0</v>
      </c>
      <c r="K150" s="25">
        <f t="shared" si="2"/>
        <v>-4858.7</v>
      </c>
    </row>
    <row r="151" spans="1:11" ht="15.95" customHeight="1" x14ac:dyDescent="0.2">
      <c r="A151" s="163">
        <v>122</v>
      </c>
      <c r="B151" s="371" t="s">
        <v>268</v>
      </c>
      <c r="C151" s="372"/>
      <c r="D151" s="372"/>
      <c r="E151" s="29">
        <v>12203.91</v>
      </c>
      <c r="F151" s="29">
        <v>0</v>
      </c>
      <c r="G151" s="164"/>
      <c r="H151" s="29">
        <v>0</v>
      </c>
      <c r="I151" s="164"/>
      <c r="J151" s="29">
        <v>12203.91</v>
      </c>
      <c r="K151" s="31">
        <f t="shared" si="2"/>
        <v>0</v>
      </c>
    </row>
    <row r="152" spans="1:11" ht="15.95" customHeight="1" x14ac:dyDescent="0.2">
      <c r="A152" s="156">
        <v>12201</v>
      </c>
      <c r="B152" s="369" t="s">
        <v>268</v>
      </c>
      <c r="C152" s="370"/>
      <c r="D152" s="370"/>
      <c r="E152" s="27">
        <v>12203.91</v>
      </c>
      <c r="F152" s="27">
        <v>0</v>
      </c>
      <c r="H152" s="27">
        <v>0</v>
      </c>
      <c r="J152" s="27">
        <v>12203.91</v>
      </c>
      <c r="K152" s="25">
        <f t="shared" si="2"/>
        <v>0</v>
      </c>
    </row>
    <row r="153" spans="1:11" ht="15.95" customHeight="1" x14ac:dyDescent="0.2">
      <c r="A153" s="156">
        <v>1220105</v>
      </c>
      <c r="B153" s="369" t="s">
        <v>269</v>
      </c>
      <c r="C153" s="370"/>
      <c r="D153" s="370"/>
      <c r="E153" s="27">
        <v>12203.91</v>
      </c>
      <c r="F153" s="27">
        <v>0</v>
      </c>
      <c r="H153" s="27">
        <v>0</v>
      </c>
      <c r="J153" s="27">
        <v>12203.91</v>
      </c>
      <c r="K153" s="25">
        <f t="shared" si="2"/>
        <v>0</v>
      </c>
    </row>
    <row r="154" spans="1:11" ht="15.95" customHeight="1" x14ac:dyDescent="0.2">
      <c r="A154" s="156" t="s">
        <v>270</v>
      </c>
      <c r="B154" s="369" t="s">
        <v>271</v>
      </c>
      <c r="C154" s="370"/>
      <c r="D154" s="370"/>
      <c r="E154" s="27">
        <v>4179.53</v>
      </c>
      <c r="F154" s="27">
        <v>0</v>
      </c>
      <c r="H154" s="27">
        <v>0</v>
      </c>
      <c r="J154" s="27">
        <v>4179.53</v>
      </c>
      <c r="K154" s="25">
        <f t="shared" si="2"/>
        <v>0</v>
      </c>
    </row>
    <row r="155" spans="1:11" ht="15.95" customHeight="1" x14ac:dyDescent="0.2">
      <c r="A155" s="156" t="s">
        <v>272</v>
      </c>
      <c r="B155" s="369" t="s">
        <v>273</v>
      </c>
      <c r="C155" s="370"/>
      <c r="D155" s="370"/>
      <c r="E155" s="27">
        <v>8024.38</v>
      </c>
      <c r="F155" s="27">
        <v>0</v>
      </c>
      <c r="H155" s="27">
        <v>0</v>
      </c>
      <c r="J155" s="27">
        <v>8024.38</v>
      </c>
      <c r="K155" s="25">
        <f t="shared" si="2"/>
        <v>0</v>
      </c>
    </row>
    <row r="156" spans="1:11" ht="15.95" customHeight="1" x14ac:dyDescent="0.2">
      <c r="A156" s="156">
        <v>123</v>
      </c>
      <c r="B156" s="369" t="s">
        <v>274</v>
      </c>
      <c r="C156" s="370"/>
      <c r="D156" s="370"/>
      <c r="E156" s="27">
        <v>322168427.23000002</v>
      </c>
      <c r="F156" s="27">
        <v>36982898.740000002</v>
      </c>
      <c r="H156" s="27">
        <v>54059731.93</v>
      </c>
      <c r="J156" s="27">
        <v>305091594.04000002</v>
      </c>
      <c r="K156" s="25">
        <f t="shared" si="2"/>
        <v>-17076833.189999998</v>
      </c>
    </row>
    <row r="157" spans="1:11" ht="15.95" customHeight="1" x14ac:dyDescent="0.2">
      <c r="A157" s="163">
        <v>12301</v>
      </c>
      <c r="B157" s="371" t="s">
        <v>274</v>
      </c>
      <c r="C157" s="372"/>
      <c r="D157" s="372"/>
      <c r="E157" s="29">
        <v>402823127.56</v>
      </c>
      <c r="F157" s="29">
        <v>35261140.590000004</v>
      </c>
      <c r="G157" s="164"/>
      <c r="H157" s="29">
        <v>43081977.549999997</v>
      </c>
      <c r="I157" s="164"/>
      <c r="J157" s="29">
        <v>395002290.60000002</v>
      </c>
      <c r="K157" s="31">
        <f t="shared" si="2"/>
        <v>-7820836.9599999785</v>
      </c>
    </row>
    <row r="158" spans="1:11" ht="15.95" customHeight="1" x14ac:dyDescent="0.2">
      <c r="A158" s="156">
        <v>1230101</v>
      </c>
      <c r="B158" s="369" t="s">
        <v>275</v>
      </c>
      <c r="C158" s="370"/>
      <c r="D158" s="370"/>
      <c r="E158" s="27">
        <v>14974342.1</v>
      </c>
      <c r="F158" s="27">
        <v>591552.4</v>
      </c>
      <c r="H158" s="27">
        <v>0</v>
      </c>
      <c r="J158" s="27">
        <v>15565894.5</v>
      </c>
      <c r="K158" s="25">
        <f t="shared" si="2"/>
        <v>591552.40000000037</v>
      </c>
    </row>
    <row r="159" spans="1:11" ht="15.95" customHeight="1" x14ac:dyDescent="0.2">
      <c r="A159" s="156" t="s">
        <v>276</v>
      </c>
      <c r="B159" s="369" t="s">
        <v>277</v>
      </c>
      <c r="C159" s="370"/>
      <c r="D159" s="370"/>
      <c r="E159" s="27">
        <v>65660.77</v>
      </c>
      <c r="F159" s="27">
        <v>0</v>
      </c>
      <c r="H159" s="27">
        <v>0</v>
      </c>
      <c r="J159" s="27">
        <v>65660.77</v>
      </c>
      <c r="K159" s="25">
        <f t="shared" si="2"/>
        <v>0</v>
      </c>
    </row>
    <row r="160" spans="1:11" ht="15.95" customHeight="1" x14ac:dyDescent="0.2">
      <c r="A160" s="156" t="s">
        <v>278</v>
      </c>
      <c r="B160" s="369" t="s">
        <v>279</v>
      </c>
      <c r="C160" s="370"/>
      <c r="D160" s="370"/>
      <c r="E160" s="27">
        <v>12832.06</v>
      </c>
      <c r="F160" s="27">
        <v>0</v>
      </c>
      <c r="H160" s="27">
        <v>0</v>
      </c>
      <c r="J160" s="27">
        <v>12832.06</v>
      </c>
      <c r="K160" s="25">
        <f t="shared" si="2"/>
        <v>0</v>
      </c>
    </row>
    <row r="161" spans="1:11" ht="15.95" customHeight="1" x14ac:dyDescent="0.2">
      <c r="A161" s="156" t="s">
        <v>280</v>
      </c>
      <c r="B161" s="369" t="s">
        <v>281</v>
      </c>
      <c r="C161" s="370"/>
      <c r="D161" s="370"/>
      <c r="E161" s="27">
        <v>1204903.52</v>
      </c>
      <c r="F161" s="27">
        <v>0</v>
      </c>
      <c r="H161" s="27">
        <v>0</v>
      </c>
      <c r="J161" s="27">
        <v>1204903.52</v>
      </c>
      <c r="K161" s="25">
        <f t="shared" si="2"/>
        <v>0</v>
      </c>
    </row>
    <row r="162" spans="1:11" ht="15.95" customHeight="1" x14ac:dyDescent="0.2">
      <c r="A162" s="156" t="s">
        <v>282</v>
      </c>
      <c r="B162" s="369" t="s">
        <v>283</v>
      </c>
      <c r="C162" s="370"/>
      <c r="D162" s="370"/>
      <c r="E162" s="27">
        <v>9692277.8000000007</v>
      </c>
      <c r="F162" s="27">
        <v>0</v>
      </c>
      <c r="H162" s="27">
        <v>0</v>
      </c>
      <c r="J162" s="27">
        <v>9692277.8000000007</v>
      </c>
      <c r="K162" s="25">
        <f t="shared" si="2"/>
        <v>0</v>
      </c>
    </row>
    <row r="163" spans="1:11" ht="15.95" customHeight="1" x14ac:dyDescent="0.2">
      <c r="A163" s="156" t="s">
        <v>284</v>
      </c>
      <c r="B163" s="369" t="s">
        <v>285</v>
      </c>
      <c r="C163" s="370"/>
      <c r="D163" s="370"/>
      <c r="E163" s="27">
        <v>666282.91</v>
      </c>
      <c r="F163" s="27">
        <v>1190</v>
      </c>
      <c r="H163" s="27">
        <v>0</v>
      </c>
      <c r="J163" s="27">
        <v>667472.91</v>
      </c>
      <c r="K163" s="25">
        <f t="shared" si="2"/>
        <v>1190</v>
      </c>
    </row>
    <row r="164" spans="1:11" ht="15.95" customHeight="1" x14ac:dyDescent="0.2">
      <c r="A164" s="156" t="s">
        <v>286</v>
      </c>
      <c r="B164" s="369" t="s">
        <v>287</v>
      </c>
      <c r="C164" s="370"/>
      <c r="D164" s="370"/>
      <c r="E164" s="27">
        <v>1279140.06</v>
      </c>
      <c r="F164" s="27">
        <v>0</v>
      </c>
      <c r="H164" s="27">
        <v>0</v>
      </c>
      <c r="J164" s="27">
        <v>1279140.06</v>
      </c>
      <c r="K164" s="25">
        <f t="shared" si="2"/>
        <v>0</v>
      </c>
    </row>
    <row r="165" spans="1:11" ht="15.95" customHeight="1" x14ac:dyDescent="0.2">
      <c r="A165" s="156" t="s">
        <v>288</v>
      </c>
      <c r="B165" s="369" t="s">
        <v>289</v>
      </c>
      <c r="C165" s="370"/>
      <c r="D165" s="370"/>
      <c r="E165" s="27">
        <v>1259543.1399999999</v>
      </c>
      <c r="F165" s="27">
        <v>0</v>
      </c>
      <c r="H165" s="27">
        <v>0</v>
      </c>
      <c r="J165" s="27">
        <v>1259543.1399999999</v>
      </c>
      <c r="K165" s="25">
        <f t="shared" si="2"/>
        <v>0</v>
      </c>
    </row>
    <row r="166" spans="1:11" ht="15.95" customHeight="1" x14ac:dyDescent="0.2">
      <c r="A166" s="156" t="s">
        <v>290</v>
      </c>
      <c r="B166" s="369" t="s">
        <v>291</v>
      </c>
      <c r="C166" s="370"/>
      <c r="D166" s="370"/>
      <c r="E166" s="27">
        <v>778347.84</v>
      </c>
      <c r="F166" s="27">
        <v>0</v>
      </c>
      <c r="H166" s="27">
        <v>0</v>
      </c>
      <c r="J166" s="27">
        <v>778347.84</v>
      </c>
      <c r="K166" s="25">
        <f t="shared" si="2"/>
        <v>0</v>
      </c>
    </row>
    <row r="167" spans="1:11" ht="27.95" customHeight="1" x14ac:dyDescent="0.2">
      <c r="A167" s="156" t="s">
        <v>292</v>
      </c>
      <c r="B167" s="369" t="s">
        <v>293</v>
      </c>
      <c r="C167" s="370"/>
      <c r="D167" s="370"/>
      <c r="E167" s="27">
        <v>15354</v>
      </c>
      <c r="F167" s="27">
        <v>0</v>
      </c>
      <c r="H167" s="27">
        <v>0</v>
      </c>
      <c r="J167" s="27">
        <v>15354</v>
      </c>
      <c r="K167" s="25">
        <f t="shared" si="2"/>
        <v>0</v>
      </c>
    </row>
    <row r="168" spans="1:11" ht="15.95" customHeight="1" x14ac:dyDescent="0.2">
      <c r="A168" s="156" t="s">
        <v>294</v>
      </c>
      <c r="B168" s="369" t="s">
        <v>295</v>
      </c>
      <c r="C168" s="370"/>
      <c r="D168" s="370"/>
      <c r="E168" s="27">
        <v>0</v>
      </c>
      <c r="F168" s="27">
        <v>590362.4</v>
      </c>
      <c r="H168" s="27">
        <v>0</v>
      </c>
      <c r="J168" s="27">
        <v>590362.4</v>
      </c>
      <c r="K168" s="25">
        <f t="shared" si="2"/>
        <v>590362.4</v>
      </c>
    </row>
    <row r="169" spans="1:11" ht="15.95" customHeight="1" x14ac:dyDescent="0.2">
      <c r="A169" s="156">
        <v>1230102</v>
      </c>
      <c r="B169" s="369" t="s">
        <v>296</v>
      </c>
      <c r="C169" s="370"/>
      <c r="D169" s="370"/>
      <c r="E169" s="27">
        <v>115537342.59999999</v>
      </c>
      <c r="F169" s="27">
        <v>34623941.630000003</v>
      </c>
      <c r="H169" s="27">
        <v>5663856.9400000004</v>
      </c>
      <c r="J169" s="27">
        <v>144497427.28999999</v>
      </c>
      <c r="K169" s="25">
        <f t="shared" si="2"/>
        <v>28960084.689999998</v>
      </c>
    </row>
    <row r="170" spans="1:11" ht="15.95" customHeight="1" x14ac:dyDescent="0.2">
      <c r="A170" s="156" t="s">
        <v>297</v>
      </c>
      <c r="B170" s="369" t="s">
        <v>298</v>
      </c>
      <c r="C170" s="370"/>
      <c r="D170" s="370"/>
      <c r="E170" s="27">
        <v>1770.62</v>
      </c>
      <c r="F170" s="27">
        <v>0</v>
      </c>
      <c r="H170" s="27">
        <v>0</v>
      </c>
      <c r="J170" s="27">
        <v>1770.62</v>
      </c>
      <c r="K170" s="25">
        <f t="shared" si="2"/>
        <v>0</v>
      </c>
    </row>
    <row r="171" spans="1:11" ht="15.95" customHeight="1" x14ac:dyDescent="0.2">
      <c r="A171" s="156" t="s">
        <v>299</v>
      </c>
      <c r="B171" s="369" t="s">
        <v>300</v>
      </c>
      <c r="C171" s="370"/>
      <c r="D171" s="370"/>
      <c r="E171" s="27">
        <v>14979891.75</v>
      </c>
      <c r="F171" s="27">
        <v>0</v>
      </c>
      <c r="H171" s="27">
        <v>609670.02</v>
      </c>
      <c r="J171" s="27">
        <v>14370221.73</v>
      </c>
      <c r="K171" s="25">
        <f t="shared" si="2"/>
        <v>-609670.01999999955</v>
      </c>
    </row>
    <row r="172" spans="1:11" ht="15.95" customHeight="1" x14ac:dyDescent="0.2">
      <c r="A172" s="156" t="s">
        <v>301</v>
      </c>
      <c r="B172" s="369" t="s">
        <v>302</v>
      </c>
      <c r="C172" s="370"/>
      <c r="D172" s="370"/>
      <c r="E172" s="27">
        <v>4450.58</v>
      </c>
      <c r="F172" s="27">
        <v>0</v>
      </c>
      <c r="H172" s="27">
        <v>0</v>
      </c>
      <c r="J172" s="27">
        <v>4450.58</v>
      </c>
      <c r="K172" s="25">
        <f t="shared" si="2"/>
        <v>0</v>
      </c>
    </row>
    <row r="173" spans="1:11" ht="15.95" customHeight="1" x14ac:dyDescent="0.2">
      <c r="A173" s="156" t="s">
        <v>303</v>
      </c>
      <c r="B173" s="369" t="s">
        <v>304</v>
      </c>
      <c r="C173" s="370"/>
      <c r="D173" s="370"/>
      <c r="E173" s="27">
        <v>3018715.09</v>
      </c>
      <c r="F173" s="27">
        <v>22053699.48</v>
      </c>
      <c r="H173" s="27">
        <v>1048631.78</v>
      </c>
      <c r="J173" s="27">
        <v>24023782.789999999</v>
      </c>
      <c r="K173" s="25">
        <f t="shared" si="2"/>
        <v>21005067.699999999</v>
      </c>
    </row>
    <row r="174" spans="1:11" ht="15.95" customHeight="1" x14ac:dyDescent="0.2">
      <c r="A174" s="156" t="s">
        <v>305</v>
      </c>
      <c r="B174" s="369" t="s">
        <v>306</v>
      </c>
      <c r="C174" s="370"/>
      <c r="D174" s="370"/>
      <c r="E174" s="27">
        <v>59377048.119999997</v>
      </c>
      <c r="F174" s="27">
        <v>598141.6</v>
      </c>
      <c r="H174" s="27">
        <v>0</v>
      </c>
      <c r="J174" s="27">
        <v>59975189.719999999</v>
      </c>
      <c r="K174" s="25">
        <f t="shared" si="2"/>
        <v>598141.60000000149</v>
      </c>
    </row>
    <row r="175" spans="1:11" ht="15.95" customHeight="1" x14ac:dyDescent="0.2">
      <c r="A175" s="156" t="s">
        <v>307</v>
      </c>
      <c r="B175" s="369" t="s">
        <v>308</v>
      </c>
      <c r="C175" s="370"/>
      <c r="D175" s="370"/>
      <c r="E175" s="27">
        <v>9551045.0299999993</v>
      </c>
      <c r="F175" s="27">
        <v>6900377.1699999999</v>
      </c>
      <c r="H175" s="27">
        <v>0</v>
      </c>
      <c r="J175" s="27">
        <v>16451422.199999999</v>
      </c>
      <c r="K175" s="25">
        <f t="shared" si="2"/>
        <v>6900377.1699999999</v>
      </c>
    </row>
    <row r="176" spans="1:11" ht="15.95" customHeight="1" x14ac:dyDescent="0.2">
      <c r="A176" s="156" t="s">
        <v>309</v>
      </c>
      <c r="B176" s="369" t="s">
        <v>310</v>
      </c>
      <c r="C176" s="370"/>
      <c r="D176" s="370"/>
      <c r="E176" s="27">
        <v>501889.3</v>
      </c>
      <c r="F176" s="27">
        <v>0</v>
      </c>
      <c r="H176" s="27">
        <v>0</v>
      </c>
      <c r="J176" s="27">
        <v>501889.3</v>
      </c>
      <c r="K176" s="25">
        <f t="shared" si="2"/>
        <v>0</v>
      </c>
    </row>
    <row r="177" spans="1:11" ht="15.95" customHeight="1" x14ac:dyDescent="0.2">
      <c r="A177" s="156" t="s">
        <v>311</v>
      </c>
      <c r="B177" s="369" t="s">
        <v>312</v>
      </c>
      <c r="C177" s="370"/>
      <c r="D177" s="370"/>
      <c r="E177" s="27">
        <v>95202.46</v>
      </c>
      <c r="F177" s="27">
        <v>0</v>
      </c>
      <c r="H177" s="27">
        <v>0</v>
      </c>
      <c r="J177" s="27">
        <v>95202.46</v>
      </c>
      <c r="K177" s="25">
        <f t="shared" si="2"/>
        <v>0</v>
      </c>
    </row>
    <row r="178" spans="1:11" ht="15.95" customHeight="1" x14ac:dyDescent="0.2">
      <c r="A178" s="156" t="s">
        <v>313</v>
      </c>
      <c r="B178" s="369" t="s">
        <v>314</v>
      </c>
      <c r="C178" s="370"/>
      <c r="D178" s="370"/>
      <c r="E178" s="27">
        <v>13925.73</v>
      </c>
      <c r="F178" s="27">
        <v>0</v>
      </c>
      <c r="H178" s="27">
        <v>0</v>
      </c>
      <c r="J178" s="27">
        <v>13925.73</v>
      </c>
      <c r="K178" s="25">
        <f t="shared" si="2"/>
        <v>0</v>
      </c>
    </row>
    <row r="179" spans="1:11" ht="15.95" customHeight="1" x14ac:dyDescent="0.2">
      <c r="A179" s="156" t="s">
        <v>315</v>
      </c>
      <c r="B179" s="369" t="s">
        <v>316</v>
      </c>
      <c r="C179" s="370"/>
      <c r="D179" s="370"/>
      <c r="E179" s="27">
        <v>12484345.49</v>
      </c>
      <c r="F179" s="27">
        <v>0</v>
      </c>
      <c r="H179" s="27">
        <v>0</v>
      </c>
      <c r="J179" s="27">
        <v>12484345.49</v>
      </c>
      <c r="K179" s="25">
        <f t="shared" si="2"/>
        <v>0</v>
      </c>
    </row>
    <row r="180" spans="1:11" ht="15.95" customHeight="1" x14ac:dyDescent="0.2">
      <c r="A180" s="156" t="s">
        <v>317</v>
      </c>
      <c r="B180" s="369" t="s">
        <v>318</v>
      </c>
      <c r="C180" s="370"/>
      <c r="D180" s="370"/>
      <c r="E180" s="27">
        <v>984332.14</v>
      </c>
      <c r="F180" s="27">
        <v>0</v>
      </c>
      <c r="H180" s="27">
        <v>0</v>
      </c>
      <c r="J180" s="27">
        <v>984332.14</v>
      </c>
      <c r="K180" s="25">
        <f t="shared" si="2"/>
        <v>0</v>
      </c>
    </row>
    <row r="181" spans="1:11" ht="15.95" customHeight="1" x14ac:dyDescent="0.2">
      <c r="A181" s="156" t="s">
        <v>319</v>
      </c>
      <c r="B181" s="369" t="s">
        <v>320</v>
      </c>
      <c r="C181" s="370"/>
      <c r="D181" s="370"/>
      <c r="E181" s="27">
        <v>600371.77</v>
      </c>
      <c r="F181" s="27">
        <v>0</v>
      </c>
      <c r="H181" s="27">
        <v>0</v>
      </c>
      <c r="J181" s="27">
        <v>600371.77</v>
      </c>
      <c r="K181" s="25">
        <f t="shared" ref="K181:K238" si="3">J181-E181</f>
        <v>0</v>
      </c>
    </row>
    <row r="182" spans="1:11" ht="15.95" customHeight="1" x14ac:dyDescent="0.2">
      <c r="A182" s="156" t="s">
        <v>321</v>
      </c>
      <c r="B182" s="369" t="s">
        <v>322</v>
      </c>
      <c r="C182" s="370"/>
      <c r="D182" s="370"/>
      <c r="E182" s="27">
        <v>123943.43</v>
      </c>
      <c r="F182" s="27">
        <v>0</v>
      </c>
      <c r="H182" s="27">
        <v>0</v>
      </c>
      <c r="J182" s="27">
        <v>123943.43</v>
      </c>
      <c r="K182" s="25">
        <f t="shared" si="3"/>
        <v>0</v>
      </c>
    </row>
    <row r="183" spans="1:11" ht="15.95" customHeight="1" x14ac:dyDescent="0.2">
      <c r="A183" s="156" t="s">
        <v>323</v>
      </c>
      <c r="B183" s="369" t="s">
        <v>324</v>
      </c>
      <c r="C183" s="370"/>
      <c r="D183" s="370"/>
      <c r="E183" s="27">
        <v>149.38</v>
      </c>
      <c r="F183" s="27">
        <v>0</v>
      </c>
      <c r="H183" s="27">
        <v>0</v>
      </c>
      <c r="J183" s="27">
        <v>149.38</v>
      </c>
      <c r="K183" s="25">
        <f t="shared" si="3"/>
        <v>0</v>
      </c>
    </row>
    <row r="184" spans="1:11" ht="15.95" customHeight="1" x14ac:dyDescent="0.2">
      <c r="A184" s="156" t="s">
        <v>325</v>
      </c>
      <c r="B184" s="369" t="s">
        <v>326</v>
      </c>
      <c r="C184" s="370"/>
      <c r="D184" s="370"/>
      <c r="E184" s="27">
        <v>2942111.51</v>
      </c>
      <c r="F184" s="27">
        <v>0</v>
      </c>
      <c r="H184" s="27">
        <v>0</v>
      </c>
      <c r="J184" s="27">
        <v>2942111.51</v>
      </c>
      <c r="K184" s="25">
        <f t="shared" si="3"/>
        <v>0</v>
      </c>
    </row>
    <row r="185" spans="1:11" ht="15.95" customHeight="1" x14ac:dyDescent="0.2">
      <c r="A185" s="156" t="s">
        <v>327</v>
      </c>
      <c r="B185" s="369" t="s">
        <v>328</v>
      </c>
      <c r="C185" s="370"/>
      <c r="D185" s="370"/>
      <c r="E185" s="27">
        <v>1970.82</v>
      </c>
      <c r="F185" s="27">
        <v>0</v>
      </c>
      <c r="H185" s="27">
        <v>0</v>
      </c>
      <c r="J185" s="27">
        <v>1970.82</v>
      </c>
      <c r="K185" s="25">
        <f t="shared" si="3"/>
        <v>0</v>
      </c>
    </row>
    <row r="186" spans="1:11" ht="15.95" customHeight="1" x14ac:dyDescent="0.2">
      <c r="A186" s="156" t="s">
        <v>329</v>
      </c>
      <c r="B186" s="369" t="s">
        <v>330</v>
      </c>
      <c r="C186" s="370"/>
      <c r="D186" s="370"/>
      <c r="E186" s="27">
        <v>468475.02</v>
      </c>
      <c r="F186" s="27">
        <v>0</v>
      </c>
      <c r="H186" s="27">
        <v>0</v>
      </c>
      <c r="J186" s="27">
        <v>468475.02</v>
      </c>
      <c r="K186" s="25">
        <f t="shared" si="3"/>
        <v>0</v>
      </c>
    </row>
    <row r="187" spans="1:11" ht="15.95" customHeight="1" x14ac:dyDescent="0.2">
      <c r="A187" s="156" t="s">
        <v>331</v>
      </c>
      <c r="B187" s="369" t="s">
        <v>332</v>
      </c>
      <c r="C187" s="370"/>
      <c r="D187" s="370"/>
      <c r="E187" s="27">
        <v>7045901.6699999999</v>
      </c>
      <c r="F187" s="27">
        <v>0</v>
      </c>
      <c r="H187" s="27">
        <v>0</v>
      </c>
      <c r="J187" s="27">
        <v>7045901.6699999999</v>
      </c>
      <c r="K187" s="25">
        <f t="shared" si="3"/>
        <v>0</v>
      </c>
    </row>
    <row r="188" spans="1:11" ht="15.95" customHeight="1" x14ac:dyDescent="0.2">
      <c r="A188" s="156" t="s">
        <v>333</v>
      </c>
      <c r="B188" s="369" t="s">
        <v>334</v>
      </c>
      <c r="C188" s="370"/>
      <c r="D188" s="370"/>
      <c r="E188" s="27">
        <v>1224566.5900000001</v>
      </c>
      <c r="F188" s="27">
        <v>0</v>
      </c>
      <c r="H188" s="27">
        <v>0</v>
      </c>
      <c r="J188" s="27">
        <v>1224566.5900000001</v>
      </c>
      <c r="K188" s="25">
        <f t="shared" si="3"/>
        <v>0</v>
      </c>
    </row>
    <row r="189" spans="1:11" ht="15.95" customHeight="1" x14ac:dyDescent="0.2">
      <c r="A189" s="156" t="s">
        <v>335</v>
      </c>
      <c r="B189" s="369" t="s">
        <v>336</v>
      </c>
      <c r="C189" s="370"/>
      <c r="D189" s="370"/>
      <c r="E189" s="27">
        <v>2117236.1</v>
      </c>
      <c r="F189" s="27">
        <v>0</v>
      </c>
      <c r="H189" s="27">
        <v>0</v>
      </c>
      <c r="J189" s="27">
        <v>2117236.1</v>
      </c>
      <c r="K189" s="25">
        <f t="shared" si="3"/>
        <v>0</v>
      </c>
    </row>
    <row r="190" spans="1:11" ht="15.95" customHeight="1" x14ac:dyDescent="0.2">
      <c r="A190" s="156" t="s">
        <v>337</v>
      </c>
      <c r="B190" s="369" t="s">
        <v>338</v>
      </c>
      <c r="C190" s="370"/>
      <c r="D190" s="370"/>
      <c r="E190" s="27">
        <v>0</v>
      </c>
      <c r="F190" s="27">
        <v>5071723.38</v>
      </c>
      <c r="H190" s="27">
        <v>4005555.14</v>
      </c>
      <c r="J190" s="27">
        <v>1066168.24</v>
      </c>
      <c r="K190" s="25">
        <f t="shared" si="3"/>
        <v>1066168.24</v>
      </c>
    </row>
    <row r="191" spans="1:11" ht="15.95" customHeight="1" x14ac:dyDescent="0.2">
      <c r="A191" s="156">
        <v>1230103</v>
      </c>
      <c r="B191" s="369" t="s">
        <v>339</v>
      </c>
      <c r="C191" s="370"/>
      <c r="D191" s="370"/>
      <c r="E191" s="27">
        <v>35013647.759999998</v>
      </c>
      <c r="F191" s="27">
        <v>45646.559999999998</v>
      </c>
      <c r="H191" s="27">
        <v>34677068.630000003</v>
      </c>
      <c r="J191" s="27">
        <v>382225.69</v>
      </c>
      <c r="K191" s="25">
        <f t="shared" si="3"/>
        <v>-34631422.07</v>
      </c>
    </row>
    <row r="192" spans="1:11" ht="15.95" customHeight="1" x14ac:dyDescent="0.2">
      <c r="A192" s="156" t="s">
        <v>1478</v>
      </c>
      <c r="B192" s="369" t="s">
        <v>1479</v>
      </c>
      <c r="C192" s="370"/>
      <c r="D192" s="370"/>
      <c r="E192" s="27">
        <v>1432134.18</v>
      </c>
      <c r="F192" s="27">
        <v>0</v>
      </c>
      <c r="H192" s="27">
        <v>1432134.18</v>
      </c>
      <c r="J192" s="27">
        <v>0</v>
      </c>
      <c r="K192" s="25">
        <f t="shared" si="3"/>
        <v>-1432134.18</v>
      </c>
    </row>
    <row r="193" spans="1:11" ht="15.95" customHeight="1" x14ac:dyDescent="0.2">
      <c r="A193" s="156" t="s">
        <v>1480</v>
      </c>
      <c r="B193" s="369" t="s">
        <v>1481</v>
      </c>
      <c r="C193" s="370"/>
      <c r="D193" s="370"/>
      <c r="E193" s="27">
        <v>5468242.9900000002</v>
      </c>
      <c r="F193" s="27">
        <v>0</v>
      </c>
      <c r="H193" s="27">
        <v>5468242.9900000002</v>
      </c>
      <c r="J193" s="27">
        <v>0</v>
      </c>
      <c r="K193" s="25">
        <f t="shared" si="3"/>
        <v>-5468242.9900000002</v>
      </c>
    </row>
    <row r="194" spans="1:11" ht="15.95" customHeight="1" x14ac:dyDescent="0.2">
      <c r="A194" s="156" t="s">
        <v>1482</v>
      </c>
      <c r="B194" s="369" t="s">
        <v>1483</v>
      </c>
      <c r="C194" s="370"/>
      <c r="D194" s="370"/>
      <c r="E194" s="27">
        <v>22053699.48</v>
      </c>
      <c r="F194" s="27">
        <v>0</v>
      </c>
      <c r="H194" s="27">
        <v>22053699.48</v>
      </c>
      <c r="J194" s="27">
        <v>0</v>
      </c>
      <c r="K194" s="25">
        <f t="shared" si="3"/>
        <v>-22053699.48</v>
      </c>
    </row>
    <row r="195" spans="1:11" ht="15.95" customHeight="1" x14ac:dyDescent="0.2">
      <c r="A195" s="156" t="s">
        <v>1484</v>
      </c>
      <c r="B195" s="369" t="s">
        <v>1485</v>
      </c>
      <c r="C195" s="370"/>
      <c r="D195" s="370"/>
      <c r="E195" s="27">
        <v>5071723.38</v>
      </c>
      <c r="F195" s="27">
        <v>0</v>
      </c>
      <c r="H195" s="27">
        <v>5071723.38</v>
      </c>
      <c r="J195" s="27">
        <v>0</v>
      </c>
      <c r="K195" s="25">
        <f t="shared" si="3"/>
        <v>-5071723.38</v>
      </c>
    </row>
    <row r="196" spans="1:11" ht="15.95" customHeight="1" x14ac:dyDescent="0.2">
      <c r="A196" s="156" t="s">
        <v>340</v>
      </c>
      <c r="B196" s="369" t="s">
        <v>341</v>
      </c>
      <c r="C196" s="370"/>
      <c r="D196" s="370"/>
      <c r="E196" s="27">
        <v>382225.69</v>
      </c>
      <c r="F196" s="27">
        <v>0</v>
      </c>
      <c r="H196" s="27">
        <v>0</v>
      </c>
      <c r="J196" s="27">
        <v>382225.69</v>
      </c>
      <c r="K196" s="25">
        <f t="shared" si="3"/>
        <v>0</v>
      </c>
    </row>
    <row r="197" spans="1:11" ht="15.95" customHeight="1" x14ac:dyDescent="0.2">
      <c r="A197" s="156" t="s">
        <v>1486</v>
      </c>
      <c r="B197" s="369" t="s">
        <v>295</v>
      </c>
      <c r="C197" s="370"/>
      <c r="D197" s="370"/>
      <c r="E197" s="27">
        <v>605622.04</v>
      </c>
      <c r="F197" s="27">
        <v>45646.559999999998</v>
      </c>
      <c r="H197" s="27">
        <v>651268.6</v>
      </c>
      <c r="J197" s="27">
        <v>0</v>
      </c>
      <c r="K197" s="25">
        <f t="shared" si="3"/>
        <v>-605622.04</v>
      </c>
    </row>
    <row r="198" spans="1:11" ht="15.95" customHeight="1" x14ac:dyDescent="0.2">
      <c r="A198" s="156">
        <v>1230104</v>
      </c>
      <c r="B198" s="369" t="s">
        <v>342</v>
      </c>
      <c r="C198" s="370"/>
      <c r="D198" s="370"/>
      <c r="E198" s="27">
        <v>1626929.13</v>
      </c>
      <c r="F198" s="27">
        <v>0</v>
      </c>
      <c r="H198" s="27">
        <v>0</v>
      </c>
      <c r="J198" s="27">
        <v>1626929.13</v>
      </c>
      <c r="K198" s="25">
        <f t="shared" si="3"/>
        <v>0</v>
      </c>
    </row>
    <row r="199" spans="1:11" ht="15.95" customHeight="1" x14ac:dyDescent="0.2">
      <c r="A199" s="156" t="s">
        <v>343</v>
      </c>
      <c r="B199" s="369" t="s">
        <v>344</v>
      </c>
      <c r="C199" s="370"/>
      <c r="D199" s="370"/>
      <c r="E199" s="27">
        <v>527833.12</v>
      </c>
      <c r="F199" s="27">
        <v>0</v>
      </c>
      <c r="H199" s="27">
        <v>0</v>
      </c>
      <c r="J199" s="27">
        <v>527833.12</v>
      </c>
      <c r="K199" s="25">
        <f t="shared" si="3"/>
        <v>0</v>
      </c>
    </row>
    <row r="200" spans="1:11" ht="15.95" customHeight="1" x14ac:dyDescent="0.2">
      <c r="A200" s="156" t="s">
        <v>345</v>
      </c>
      <c r="B200" s="369" t="s">
        <v>346</v>
      </c>
      <c r="C200" s="370"/>
      <c r="D200" s="370"/>
      <c r="E200" s="27">
        <v>140000</v>
      </c>
      <c r="F200" s="27">
        <v>0</v>
      </c>
      <c r="H200" s="27">
        <v>0</v>
      </c>
      <c r="J200" s="27">
        <v>140000</v>
      </c>
      <c r="K200" s="25">
        <f t="shared" si="3"/>
        <v>0</v>
      </c>
    </row>
    <row r="201" spans="1:11" ht="15.95" customHeight="1" x14ac:dyDescent="0.2">
      <c r="A201" s="156" t="s">
        <v>347</v>
      </c>
      <c r="B201" s="369" t="s">
        <v>348</v>
      </c>
      <c r="C201" s="370"/>
      <c r="D201" s="370"/>
      <c r="E201" s="27">
        <v>959096.01</v>
      </c>
      <c r="F201" s="27">
        <v>0</v>
      </c>
      <c r="H201" s="27">
        <v>0</v>
      </c>
      <c r="J201" s="27">
        <v>959096.01</v>
      </c>
      <c r="K201" s="25">
        <f t="shared" si="3"/>
        <v>0</v>
      </c>
    </row>
    <row r="202" spans="1:11" ht="15.95" customHeight="1" x14ac:dyDescent="0.2">
      <c r="A202" s="156">
        <v>1230105</v>
      </c>
      <c r="B202" s="369" t="s">
        <v>349</v>
      </c>
      <c r="C202" s="370"/>
      <c r="D202" s="370"/>
      <c r="E202" s="27">
        <v>238454443.41</v>
      </c>
      <c r="F202" s="27">
        <v>0</v>
      </c>
      <c r="H202" s="27">
        <v>0</v>
      </c>
      <c r="J202" s="27">
        <v>238454443.41</v>
      </c>
      <c r="K202" s="25">
        <f t="shared" si="3"/>
        <v>0</v>
      </c>
    </row>
    <row r="203" spans="1:11" ht="15.95" customHeight="1" x14ac:dyDescent="0.2">
      <c r="A203" s="156" t="s">
        <v>350</v>
      </c>
      <c r="B203" s="369" t="s">
        <v>351</v>
      </c>
      <c r="C203" s="370"/>
      <c r="D203" s="370"/>
      <c r="E203" s="27">
        <v>231979697.44</v>
      </c>
      <c r="F203" s="27">
        <v>0</v>
      </c>
      <c r="H203" s="27">
        <v>0</v>
      </c>
      <c r="J203" s="27">
        <v>231979697.44</v>
      </c>
      <c r="K203" s="25">
        <f t="shared" si="3"/>
        <v>0</v>
      </c>
    </row>
    <row r="204" spans="1:11" ht="15.95" customHeight="1" x14ac:dyDescent="0.2">
      <c r="A204" s="156" t="s">
        <v>352</v>
      </c>
      <c r="B204" s="369" t="s">
        <v>353</v>
      </c>
      <c r="C204" s="370"/>
      <c r="D204" s="370"/>
      <c r="E204" s="27">
        <v>1093994.98</v>
      </c>
      <c r="F204" s="27">
        <v>0</v>
      </c>
      <c r="H204" s="27">
        <v>0</v>
      </c>
      <c r="J204" s="27">
        <v>1093994.98</v>
      </c>
      <c r="K204" s="25">
        <f t="shared" si="3"/>
        <v>0</v>
      </c>
    </row>
    <row r="205" spans="1:11" ht="15.95" customHeight="1" x14ac:dyDescent="0.2">
      <c r="A205" s="156" t="s">
        <v>354</v>
      </c>
      <c r="B205" s="369" t="s">
        <v>355</v>
      </c>
      <c r="C205" s="370"/>
      <c r="D205" s="370"/>
      <c r="E205" s="27">
        <v>3533050.99</v>
      </c>
      <c r="F205" s="27">
        <v>0</v>
      </c>
      <c r="H205" s="27">
        <v>0</v>
      </c>
      <c r="J205" s="27">
        <v>3533050.99</v>
      </c>
      <c r="K205" s="25">
        <f t="shared" si="3"/>
        <v>0</v>
      </c>
    </row>
    <row r="206" spans="1:11" ht="15.95" customHeight="1" x14ac:dyDescent="0.2">
      <c r="A206" s="156" t="s">
        <v>356</v>
      </c>
      <c r="B206" s="369" t="s">
        <v>357</v>
      </c>
      <c r="C206" s="370"/>
      <c r="D206" s="370"/>
      <c r="E206" s="27">
        <v>6700</v>
      </c>
      <c r="F206" s="27">
        <v>0</v>
      </c>
      <c r="H206" s="27">
        <v>0</v>
      </c>
      <c r="J206" s="27">
        <v>6700</v>
      </c>
      <c r="K206" s="25">
        <f t="shared" si="3"/>
        <v>0</v>
      </c>
    </row>
    <row r="207" spans="1:11" ht="15.95" customHeight="1" x14ac:dyDescent="0.2">
      <c r="A207" s="156" t="s">
        <v>358</v>
      </c>
      <c r="B207" s="369" t="s">
        <v>359</v>
      </c>
      <c r="C207" s="370"/>
      <c r="D207" s="370"/>
      <c r="E207" s="27">
        <v>1841000</v>
      </c>
      <c r="F207" s="27">
        <v>0</v>
      </c>
      <c r="H207" s="27">
        <v>0</v>
      </c>
      <c r="J207" s="27">
        <v>1841000</v>
      </c>
      <c r="K207" s="25">
        <f t="shared" si="3"/>
        <v>0</v>
      </c>
    </row>
    <row r="208" spans="1:11" ht="15.95" customHeight="1" x14ac:dyDescent="0.2">
      <c r="A208" s="156">
        <v>1230108</v>
      </c>
      <c r="B208" s="369" t="s">
        <v>360</v>
      </c>
      <c r="C208" s="370"/>
      <c r="D208" s="370"/>
      <c r="E208" s="27">
        <v>-2783577.44</v>
      </c>
      <c r="F208" s="27">
        <v>0</v>
      </c>
      <c r="H208" s="27">
        <v>2741051.98</v>
      </c>
      <c r="J208" s="27">
        <v>-5524629.4199999999</v>
      </c>
      <c r="K208" s="25">
        <f t="shared" si="3"/>
        <v>-2741051.98</v>
      </c>
    </row>
    <row r="209" spans="1:11" ht="15.95" customHeight="1" x14ac:dyDescent="0.2">
      <c r="A209" s="156" t="s">
        <v>361</v>
      </c>
      <c r="B209" s="369" t="s">
        <v>362</v>
      </c>
      <c r="C209" s="370"/>
      <c r="D209" s="370"/>
      <c r="E209" s="27">
        <v>-18424.2</v>
      </c>
      <c r="F209" s="27">
        <v>0</v>
      </c>
      <c r="H209" s="27">
        <v>0</v>
      </c>
      <c r="J209" s="27">
        <v>-18424.2</v>
      </c>
      <c r="K209" s="25">
        <f t="shared" si="3"/>
        <v>0</v>
      </c>
    </row>
    <row r="210" spans="1:11" ht="15.95" customHeight="1" x14ac:dyDescent="0.2">
      <c r="A210" s="156" t="s">
        <v>363</v>
      </c>
      <c r="B210" s="369" t="s">
        <v>364</v>
      </c>
      <c r="C210" s="370"/>
      <c r="D210" s="370"/>
      <c r="E210" s="27">
        <v>-170198.69</v>
      </c>
      <c r="F210" s="27">
        <v>0</v>
      </c>
      <c r="H210" s="27">
        <v>0</v>
      </c>
      <c r="J210" s="27">
        <v>-170198.69</v>
      </c>
      <c r="K210" s="25">
        <f t="shared" si="3"/>
        <v>0</v>
      </c>
    </row>
    <row r="211" spans="1:11" ht="15.95" customHeight="1" x14ac:dyDescent="0.2">
      <c r="A211" s="156" t="s">
        <v>365</v>
      </c>
      <c r="B211" s="369" t="s">
        <v>366</v>
      </c>
      <c r="C211" s="370"/>
      <c r="D211" s="370"/>
      <c r="E211" s="27">
        <v>-23611.29</v>
      </c>
      <c r="F211" s="27">
        <v>0</v>
      </c>
      <c r="H211" s="27">
        <v>0</v>
      </c>
      <c r="J211" s="27">
        <v>-23611.29</v>
      </c>
      <c r="K211" s="25">
        <f t="shared" si="3"/>
        <v>0</v>
      </c>
    </row>
    <row r="212" spans="1:11" ht="15.95" customHeight="1" x14ac:dyDescent="0.2">
      <c r="A212" s="156" t="s">
        <v>367</v>
      </c>
      <c r="B212" s="369" t="s">
        <v>368</v>
      </c>
      <c r="C212" s="370"/>
      <c r="D212" s="370"/>
      <c r="E212" s="27">
        <v>-8308.92</v>
      </c>
      <c r="F212" s="27">
        <v>0</v>
      </c>
      <c r="H212" s="27">
        <v>0</v>
      </c>
      <c r="J212" s="27">
        <v>-8308.92</v>
      </c>
      <c r="K212" s="25">
        <f t="shared" si="3"/>
        <v>0</v>
      </c>
    </row>
    <row r="213" spans="1:11" ht="15.95" customHeight="1" x14ac:dyDescent="0.2">
      <c r="A213" s="156" t="s">
        <v>369</v>
      </c>
      <c r="B213" s="369" t="s">
        <v>370</v>
      </c>
      <c r="C213" s="370"/>
      <c r="D213" s="370"/>
      <c r="E213" s="27">
        <v>-4233.8599999999997</v>
      </c>
      <c r="F213" s="27">
        <v>0</v>
      </c>
      <c r="H213" s="27">
        <v>0</v>
      </c>
      <c r="J213" s="27">
        <v>-4233.8599999999997</v>
      </c>
      <c r="K213" s="25">
        <f t="shared" si="3"/>
        <v>0</v>
      </c>
    </row>
    <row r="214" spans="1:11" ht="15.95" customHeight="1" x14ac:dyDescent="0.2">
      <c r="A214" s="156" t="s">
        <v>371</v>
      </c>
      <c r="B214" s="369" t="s">
        <v>372</v>
      </c>
      <c r="C214" s="370"/>
      <c r="D214" s="370"/>
      <c r="E214" s="27">
        <v>-2729.37</v>
      </c>
      <c r="F214" s="27">
        <v>0</v>
      </c>
      <c r="H214" s="27">
        <v>0</v>
      </c>
      <c r="J214" s="27">
        <v>-2729.37</v>
      </c>
      <c r="K214" s="25">
        <f t="shared" si="3"/>
        <v>0</v>
      </c>
    </row>
    <row r="215" spans="1:11" ht="15.95" customHeight="1" x14ac:dyDescent="0.2">
      <c r="A215" s="156" t="s">
        <v>373</v>
      </c>
      <c r="B215" s="369" t="s">
        <v>374</v>
      </c>
      <c r="C215" s="370"/>
      <c r="D215" s="370"/>
      <c r="E215" s="27">
        <v>-3898.61</v>
      </c>
      <c r="F215" s="27">
        <v>0</v>
      </c>
      <c r="H215" s="27">
        <v>1349888.48</v>
      </c>
      <c r="J215" s="27">
        <v>-1353787.09</v>
      </c>
      <c r="K215" s="25">
        <f t="shared" si="3"/>
        <v>-1349888.48</v>
      </c>
    </row>
    <row r="216" spans="1:11" ht="15.95" customHeight="1" x14ac:dyDescent="0.2">
      <c r="A216" s="156" t="s">
        <v>375</v>
      </c>
      <c r="B216" s="369" t="s">
        <v>376</v>
      </c>
      <c r="C216" s="370"/>
      <c r="D216" s="370"/>
      <c r="E216" s="27">
        <v>-12754.35</v>
      </c>
      <c r="F216" s="27">
        <v>0</v>
      </c>
      <c r="H216" s="27">
        <v>0</v>
      </c>
      <c r="J216" s="27">
        <v>-12754.35</v>
      </c>
      <c r="K216" s="25">
        <f t="shared" si="3"/>
        <v>0</v>
      </c>
    </row>
    <row r="217" spans="1:11" ht="15.95" customHeight="1" x14ac:dyDescent="0.2">
      <c r="A217" s="156" t="s">
        <v>377</v>
      </c>
      <c r="B217" s="369" t="s">
        <v>378</v>
      </c>
      <c r="C217" s="370"/>
      <c r="D217" s="370"/>
      <c r="E217" s="27">
        <v>-1798587.79</v>
      </c>
      <c r="F217" s="27">
        <v>0</v>
      </c>
      <c r="H217" s="27">
        <v>0</v>
      </c>
      <c r="J217" s="27">
        <v>-1798587.79</v>
      </c>
      <c r="K217" s="25">
        <f t="shared" si="3"/>
        <v>0</v>
      </c>
    </row>
    <row r="218" spans="1:11" ht="15.95" customHeight="1" x14ac:dyDescent="0.2">
      <c r="A218" s="156" t="s">
        <v>379</v>
      </c>
      <c r="B218" s="369" t="s">
        <v>380</v>
      </c>
      <c r="C218" s="370"/>
      <c r="D218" s="370"/>
      <c r="E218" s="27">
        <v>-7928.64</v>
      </c>
      <c r="F218" s="27">
        <v>0</v>
      </c>
      <c r="H218" s="27">
        <v>0</v>
      </c>
      <c r="J218" s="27">
        <v>-7928.64</v>
      </c>
      <c r="K218" s="25">
        <f t="shared" si="3"/>
        <v>0</v>
      </c>
    </row>
    <row r="219" spans="1:11" ht="15.95" customHeight="1" x14ac:dyDescent="0.2">
      <c r="A219" s="156" t="s">
        <v>381</v>
      </c>
      <c r="B219" s="369" t="s">
        <v>382</v>
      </c>
      <c r="C219" s="370"/>
      <c r="D219" s="370"/>
      <c r="E219" s="27">
        <v>-265.91000000000003</v>
      </c>
      <c r="F219" s="27">
        <v>0</v>
      </c>
      <c r="H219" s="27">
        <v>0</v>
      </c>
      <c r="J219" s="27">
        <v>-265.91000000000003</v>
      </c>
      <c r="K219" s="25">
        <f t="shared" si="3"/>
        <v>0</v>
      </c>
    </row>
    <row r="220" spans="1:11" ht="15.95" customHeight="1" x14ac:dyDescent="0.2">
      <c r="A220" s="156" t="s">
        <v>383</v>
      </c>
      <c r="B220" s="369" t="s">
        <v>384</v>
      </c>
      <c r="C220" s="370"/>
      <c r="D220" s="370"/>
      <c r="E220" s="27">
        <v>-87964.72</v>
      </c>
      <c r="F220" s="27">
        <v>0</v>
      </c>
      <c r="H220" s="27">
        <v>0</v>
      </c>
      <c r="J220" s="27">
        <v>-87964.72</v>
      </c>
      <c r="K220" s="25">
        <f t="shared" si="3"/>
        <v>0</v>
      </c>
    </row>
    <row r="221" spans="1:11" ht="27.95" customHeight="1" x14ac:dyDescent="0.2">
      <c r="A221" s="156" t="s">
        <v>385</v>
      </c>
      <c r="B221" s="369" t="s">
        <v>386</v>
      </c>
      <c r="C221" s="370"/>
      <c r="D221" s="370"/>
      <c r="E221" s="27">
        <v>-86928.73</v>
      </c>
      <c r="F221" s="27">
        <v>0</v>
      </c>
      <c r="H221" s="27">
        <v>1221209.32</v>
      </c>
      <c r="J221" s="27">
        <v>-1308138.05</v>
      </c>
      <c r="K221" s="25">
        <f t="shared" si="3"/>
        <v>-1221209.32</v>
      </c>
    </row>
    <row r="222" spans="1:11" ht="15.95" customHeight="1" x14ac:dyDescent="0.2">
      <c r="A222" s="156" t="s">
        <v>387</v>
      </c>
      <c r="B222" s="369" t="s">
        <v>388</v>
      </c>
      <c r="C222" s="370"/>
      <c r="D222" s="370"/>
      <c r="E222" s="27">
        <v>-5840.17</v>
      </c>
      <c r="F222" s="27">
        <v>0</v>
      </c>
      <c r="H222" s="27">
        <v>0</v>
      </c>
      <c r="J222" s="27">
        <v>-5840.17</v>
      </c>
      <c r="K222" s="25">
        <f t="shared" si="3"/>
        <v>0</v>
      </c>
    </row>
    <row r="223" spans="1:11" ht="15.95" customHeight="1" x14ac:dyDescent="0.2">
      <c r="A223" s="156" t="s">
        <v>389</v>
      </c>
      <c r="B223" s="369" t="s">
        <v>390</v>
      </c>
      <c r="C223" s="370"/>
      <c r="D223" s="370"/>
      <c r="E223" s="27">
        <v>-385902.97</v>
      </c>
      <c r="F223" s="27">
        <v>0</v>
      </c>
      <c r="H223" s="27">
        <v>0</v>
      </c>
      <c r="J223" s="27">
        <v>-385902.97</v>
      </c>
      <c r="K223" s="25">
        <f t="shared" si="3"/>
        <v>0</v>
      </c>
    </row>
    <row r="224" spans="1:11" ht="15.95" customHeight="1" x14ac:dyDescent="0.2">
      <c r="A224" s="156" t="s">
        <v>391</v>
      </c>
      <c r="B224" s="369" t="s">
        <v>392</v>
      </c>
      <c r="C224" s="370"/>
      <c r="D224" s="370"/>
      <c r="E224" s="27">
        <v>-17386.990000000002</v>
      </c>
      <c r="F224" s="27">
        <v>0</v>
      </c>
      <c r="H224" s="27">
        <v>0</v>
      </c>
      <c r="J224" s="27">
        <v>-17386.990000000002</v>
      </c>
      <c r="K224" s="25">
        <f t="shared" si="3"/>
        <v>0</v>
      </c>
    </row>
    <row r="225" spans="1:11" ht="15.95" customHeight="1" x14ac:dyDescent="0.2">
      <c r="A225" s="156" t="s">
        <v>393</v>
      </c>
      <c r="B225" s="369" t="s">
        <v>394</v>
      </c>
      <c r="C225" s="370"/>
      <c r="D225" s="370"/>
      <c r="E225" s="27">
        <v>-56188.26</v>
      </c>
      <c r="F225" s="27">
        <v>0</v>
      </c>
      <c r="H225" s="27">
        <v>0</v>
      </c>
      <c r="J225" s="27">
        <v>-56188.26</v>
      </c>
      <c r="K225" s="25">
        <f t="shared" si="3"/>
        <v>0</v>
      </c>
    </row>
    <row r="226" spans="1:11" ht="15.95" customHeight="1" x14ac:dyDescent="0.2">
      <c r="A226" s="156" t="s">
        <v>395</v>
      </c>
      <c r="B226" s="369" t="s">
        <v>396</v>
      </c>
      <c r="C226" s="370"/>
      <c r="D226" s="370"/>
      <c r="E226" s="27">
        <v>-29270.35</v>
      </c>
      <c r="F226" s="27">
        <v>0</v>
      </c>
      <c r="H226" s="27">
        <v>0</v>
      </c>
      <c r="J226" s="27">
        <v>-29270.35</v>
      </c>
      <c r="K226" s="25">
        <f t="shared" si="3"/>
        <v>0</v>
      </c>
    </row>
    <row r="227" spans="1:11" ht="15.95" customHeight="1" x14ac:dyDescent="0.2">
      <c r="A227" s="156" t="s">
        <v>397</v>
      </c>
      <c r="B227" s="369" t="s">
        <v>398</v>
      </c>
      <c r="C227" s="370"/>
      <c r="D227" s="370"/>
      <c r="E227" s="27">
        <v>-63153.62</v>
      </c>
      <c r="F227" s="27">
        <v>0</v>
      </c>
      <c r="H227" s="27">
        <v>169954.18</v>
      </c>
      <c r="J227" s="27">
        <v>-233107.8</v>
      </c>
      <c r="K227" s="25">
        <f t="shared" si="3"/>
        <v>-169954.18</v>
      </c>
    </row>
    <row r="228" spans="1:11" ht="15.95" customHeight="1" x14ac:dyDescent="0.2">
      <c r="A228" s="156">
        <v>12399</v>
      </c>
      <c r="B228" s="369" t="s">
        <v>399</v>
      </c>
      <c r="C228" s="370"/>
      <c r="D228" s="370"/>
      <c r="E228" s="27">
        <v>-80654700.329999998</v>
      </c>
      <c r="F228" s="27">
        <v>1721758.15</v>
      </c>
      <c r="H228" s="27">
        <v>10977754.380000001</v>
      </c>
      <c r="J228" s="27">
        <v>-89910696.560000002</v>
      </c>
      <c r="K228" s="25">
        <f t="shared" si="3"/>
        <v>-9255996.2300000042</v>
      </c>
    </row>
    <row r="229" spans="1:11" ht="15.95" customHeight="1" x14ac:dyDescent="0.2">
      <c r="A229" s="156">
        <v>1239901</v>
      </c>
      <c r="B229" s="369" t="s">
        <v>400</v>
      </c>
      <c r="C229" s="370"/>
      <c r="D229" s="370"/>
      <c r="E229" s="27">
        <v>-5544334.4400000004</v>
      </c>
      <c r="F229" s="27">
        <v>0</v>
      </c>
      <c r="H229" s="27">
        <v>915206.44</v>
      </c>
      <c r="J229" s="27">
        <v>-6459540.8799999999</v>
      </c>
      <c r="K229" s="25">
        <f t="shared" si="3"/>
        <v>-915206.43999999948</v>
      </c>
    </row>
    <row r="230" spans="1:11" ht="15.95" customHeight="1" x14ac:dyDescent="0.2">
      <c r="A230" s="156" t="s">
        <v>401</v>
      </c>
      <c r="B230" s="369" t="s">
        <v>277</v>
      </c>
      <c r="C230" s="370"/>
      <c r="D230" s="370"/>
      <c r="E230" s="27">
        <v>-63204.99</v>
      </c>
      <c r="F230" s="27">
        <v>0</v>
      </c>
      <c r="H230" s="27">
        <v>415.8</v>
      </c>
      <c r="J230" s="27">
        <v>-63620.79</v>
      </c>
      <c r="K230" s="25">
        <f t="shared" si="3"/>
        <v>-415.80000000000291</v>
      </c>
    </row>
    <row r="231" spans="1:11" ht="15.95" customHeight="1" x14ac:dyDescent="0.2">
      <c r="A231" s="156" t="s">
        <v>402</v>
      </c>
      <c r="B231" s="369" t="s">
        <v>279</v>
      </c>
      <c r="C231" s="370"/>
      <c r="D231" s="370"/>
      <c r="E231" s="27">
        <v>-12832.06</v>
      </c>
      <c r="F231" s="27">
        <v>0</v>
      </c>
      <c r="H231" s="27">
        <v>0</v>
      </c>
      <c r="J231" s="27">
        <v>-12832.06</v>
      </c>
      <c r="K231" s="25">
        <f t="shared" si="3"/>
        <v>0</v>
      </c>
    </row>
    <row r="232" spans="1:11" ht="15.95" customHeight="1" x14ac:dyDescent="0.2">
      <c r="A232" s="156" t="s">
        <v>403</v>
      </c>
      <c r="B232" s="369" t="s">
        <v>281</v>
      </c>
      <c r="C232" s="370"/>
      <c r="D232" s="370"/>
      <c r="E232" s="27">
        <v>-932954.94</v>
      </c>
      <c r="F232" s="27">
        <v>0</v>
      </c>
      <c r="H232" s="27">
        <v>87412.32</v>
      </c>
      <c r="J232" s="27">
        <v>-1020367.26</v>
      </c>
      <c r="K232" s="25">
        <f t="shared" si="3"/>
        <v>-87412.320000000065</v>
      </c>
    </row>
    <row r="233" spans="1:11" ht="15.95" customHeight="1" x14ac:dyDescent="0.2">
      <c r="A233" s="156" t="s">
        <v>404</v>
      </c>
      <c r="B233" s="369" t="s">
        <v>283</v>
      </c>
      <c r="C233" s="370"/>
      <c r="D233" s="370"/>
      <c r="E233" s="27">
        <v>-2033449.65</v>
      </c>
      <c r="F233" s="27">
        <v>0</v>
      </c>
      <c r="H233" s="27">
        <v>726654.78</v>
      </c>
      <c r="J233" s="27">
        <v>-2760104.43</v>
      </c>
      <c r="K233" s="25">
        <f t="shared" si="3"/>
        <v>-726654.78000000026</v>
      </c>
    </row>
    <row r="234" spans="1:11" ht="15.95" customHeight="1" x14ac:dyDescent="0.2">
      <c r="A234" s="156" t="s">
        <v>405</v>
      </c>
      <c r="B234" s="369" t="s">
        <v>285</v>
      </c>
      <c r="C234" s="370"/>
      <c r="D234" s="370"/>
      <c r="E234" s="27">
        <v>-600214.14</v>
      </c>
      <c r="F234" s="27">
        <v>0</v>
      </c>
      <c r="H234" s="27">
        <v>14299.68</v>
      </c>
      <c r="J234" s="27">
        <v>-614513.81999999995</v>
      </c>
      <c r="K234" s="25">
        <f t="shared" si="3"/>
        <v>-14299.679999999935</v>
      </c>
    </row>
    <row r="235" spans="1:11" ht="15.95" customHeight="1" x14ac:dyDescent="0.2">
      <c r="A235" s="156" t="s">
        <v>406</v>
      </c>
      <c r="B235" s="369" t="s">
        <v>289</v>
      </c>
      <c r="C235" s="370"/>
      <c r="D235" s="370"/>
      <c r="E235" s="27">
        <v>-1210095.1200000001</v>
      </c>
      <c r="F235" s="27">
        <v>0</v>
      </c>
      <c r="H235" s="27">
        <v>14352.57</v>
      </c>
      <c r="J235" s="27">
        <v>-1224447.69</v>
      </c>
      <c r="K235" s="25">
        <f t="shared" si="3"/>
        <v>-14352.569999999832</v>
      </c>
    </row>
    <row r="236" spans="1:11" ht="15.95" customHeight="1" x14ac:dyDescent="0.2">
      <c r="A236" s="156" t="s">
        <v>407</v>
      </c>
      <c r="B236" s="369" t="s">
        <v>287</v>
      </c>
      <c r="C236" s="370"/>
      <c r="D236" s="370"/>
      <c r="E236" s="27">
        <v>-65426.16</v>
      </c>
      <c r="F236" s="27">
        <v>0</v>
      </c>
      <c r="H236" s="27">
        <v>8070.3</v>
      </c>
      <c r="J236" s="27">
        <v>-73496.460000000006</v>
      </c>
      <c r="K236" s="25">
        <f t="shared" si="3"/>
        <v>-8070.3000000000029</v>
      </c>
    </row>
    <row r="237" spans="1:11" ht="15.95" customHeight="1" x14ac:dyDescent="0.2">
      <c r="A237" s="156" t="s">
        <v>408</v>
      </c>
      <c r="B237" s="369" t="s">
        <v>291</v>
      </c>
      <c r="C237" s="370"/>
      <c r="D237" s="370"/>
      <c r="E237" s="27">
        <v>-616628.28</v>
      </c>
      <c r="F237" s="27">
        <v>0</v>
      </c>
      <c r="H237" s="27">
        <v>43378.74</v>
      </c>
      <c r="J237" s="27">
        <v>-660007.02</v>
      </c>
      <c r="K237" s="25">
        <f t="shared" si="3"/>
        <v>-43378.739999999991</v>
      </c>
    </row>
    <row r="238" spans="1:11" ht="15.95" customHeight="1" x14ac:dyDescent="0.2">
      <c r="A238" s="156" t="s">
        <v>409</v>
      </c>
      <c r="B238" s="369" t="s">
        <v>410</v>
      </c>
      <c r="C238" s="370"/>
      <c r="D238" s="370"/>
      <c r="E238" s="27">
        <v>-9529.1</v>
      </c>
      <c r="F238" s="27">
        <v>0</v>
      </c>
      <c r="H238" s="27">
        <v>943.71</v>
      </c>
      <c r="J238" s="27">
        <v>-10472.81</v>
      </c>
      <c r="K238" s="25">
        <f t="shared" si="3"/>
        <v>-943.70999999999913</v>
      </c>
    </row>
    <row r="239" spans="1:11" ht="15.95" customHeight="1" x14ac:dyDescent="0.2">
      <c r="A239" s="156" t="s">
        <v>411</v>
      </c>
      <c r="B239" s="369" t="s">
        <v>295</v>
      </c>
      <c r="C239" s="370"/>
      <c r="D239" s="370"/>
      <c r="E239" s="27">
        <v>0</v>
      </c>
      <c r="F239" s="27">
        <v>0</v>
      </c>
      <c r="H239" s="27">
        <v>19678.54</v>
      </c>
      <c r="J239" s="27">
        <v>-19678.54</v>
      </c>
      <c r="K239" s="25">
        <f t="shared" ref="K239:K296" si="4">J239-E239</f>
        <v>-19678.54</v>
      </c>
    </row>
    <row r="240" spans="1:11" ht="15.95" customHeight="1" x14ac:dyDescent="0.2">
      <c r="A240" s="156">
        <v>1239902</v>
      </c>
      <c r="B240" s="369" t="s">
        <v>412</v>
      </c>
      <c r="C240" s="370"/>
      <c r="D240" s="370"/>
      <c r="E240" s="27">
        <v>-60198719.740000002</v>
      </c>
      <c r="F240" s="27">
        <v>1113623.3999999999</v>
      </c>
      <c r="H240" s="27">
        <v>2617051.88</v>
      </c>
      <c r="J240" s="27">
        <v>-61702148.219999999</v>
      </c>
      <c r="K240" s="25">
        <f t="shared" si="4"/>
        <v>-1503428.4799999967</v>
      </c>
    </row>
    <row r="241" spans="1:11" ht="15.95" customHeight="1" x14ac:dyDescent="0.2">
      <c r="A241" s="156" t="s">
        <v>413</v>
      </c>
      <c r="B241" s="369" t="s">
        <v>300</v>
      </c>
      <c r="C241" s="370"/>
      <c r="D241" s="370"/>
      <c r="E241" s="27">
        <v>-6578848.4299999997</v>
      </c>
      <c r="F241" s="27">
        <v>207691.87</v>
      </c>
      <c r="H241" s="27">
        <v>357104.75</v>
      </c>
      <c r="J241" s="27">
        <v>-6728261.3099999996</v>
      </c>
      <c r="K241" s="25">
        <f t="shared" si="4"/>
        <v>-149412.87999999989</v>
      </c>
    </row>
    <row r="242" spans="1:11" ht="15.95" customHeight="1" x14ac:dyDescent="0.2">
      <c r="A242" s="156" t="s">
        <v>414</v>
      </c>
      <c r="B242" s="369" t="s">
        <v>302</v>
      </c>
      <c r="C242" s="370"/>
      <c r="D242" s="370"/>
      <c r="E242" s="27">
        <v>-4450.58</v>
      </c>
      <c r="F242" s="27">
        <v>0</v>
      </c>
      <c r="H242" s="27">
        <v>0</v>
      </c>
      <c r="J242" s="27">
        <v>-4450.58</v>
      </c>
      <c r="K242" s="25">
        <f t="shared" si="4"/>
        <v>0</v>
      </c>
    </row>
    <row r="243" spans="1:11" ht="15.95" customHeight="1" x14ac:dyDescent="0.2">
      <c r="A243" s="156" t="s">
        <v>415</v>
      </c>
      <c r="B243" s="369" t="s">
        <v>304</v>
      </c>
      <c r="C243" s="370"/>
      <c r="D243" s="370"/>
      <c r="E243" s="27">
        <v>-1300291.02</v>
      </c>
      <c r="F243" s="27">
        <v>905931.53</v>
      </c>
      <c r="H243" s="27">
        <v>294020.39</v>
      </c>
      <c r="J243" s="27">
        <v>-688379.88</v>
      </c>
      <c r="K243" s="25">
        <f t="shared" si="4"/>
        <v>611911.14</v>
      </c>
    </row>
    <row r="244" spans="1:11" ht="15.95" customHeight="1" x14ac:dyDescent="0.2">
      <c r="A244" s="156" t="s">
        <v>416</v>
      </c>
      <c r="B244" s="369" t="s">
        <v>306</v>
      </c>
      <c r="C244" s="370"/>
      <c r="D244" s="370"/>
      <c r="E244" s="27">
        <v>-33066566.010000002</v>
      </c>
      <c r="F244" s="27">
        <v>0</v>
      </c>
      <c r="H244" s="27">
        <v>1121224.06</v>
      </c>
      <c r="J244" s="27">
        <v>-34187790.07</v>
      </c>
      <c r="K244" s="25">
        <f t="shared" si="4"/>
        <v>-1121224.0599999987</v>
      </c>
    </row>
    <row r="245" spans="1:11" ht="15.95" customHeight="1" x14ac:dyDescent="0.2">
      <c r="A245" s="156" t="s">
        <v>417</v>
      </c>
      <c r="B245" s="369" t="s">
        <v>308</v>
      </c>
      <c r="C245" s="370"/>
      <c r="D245" s="370"/>
      <c r="E245" s="27">
        <v>-9551045.0299999993</v>
      </c>
      <c r="F245" s="27">
        <v>0</v>
      </c>
      <c r="H245" s="27">
        <v>230012.56</v>
      </c>
      <c r="J245" s="27">
        <v>-9781057.5899999999</v>
      </c>
      <c r="K245" s="25">
        <f t="shared" si="4"/>
        <v>-230012.56000000052</v>
      </c>
    </row>
    <row r="246" spans="1:11" ht="15.95" customHeight="1" x14ac:dyDescent="0.2">
      <c r="A246" s="156" t="s">
        <v>418</v>
      </c>
      <c r="B246" s="369" t="s">
        <v>310</v>
      </c>
      <c r="C246" s="370"/>
      <c r="D246" s="370"/>
      <c r="E246" s="27">
        <v>-440226.98</v>
      </c>
      <c r="F246" s="27">
        <v>0</v>
      </c>
      <c r="H246" s="27">
        <v>16867.29</v>
      </c>
      <c r="J246" s="27">
        <v>-457094.27</v>
      </c>
      <c r="K246" s="25">
        <f t="shared" si="4"/>
        <v>-16867.290000000037</v>
      </c>
    </row>
    <row r="247" spans="1:11" ht="15.95" customHeight="1" x14ac:dyDescent="0.2">
      <c r="A247" s="156" t="s">
        <v>419</v>
      </c>
      <c r="B247" s="369" t="s">
        <v>312</v>
      </c>
      <c r="C247" s="370"/>
      <c r="D247" s="370"/>
      <c r="E247" s="27">
        <v>-95202.46</v>
      </c>
      <c r="F247" s="27">
        <v>0</v>
      </c>
      <c r="H247" s="27">
        <v>0</v>
      </c>
      <c r="J247" s="27">
        <v>-95202.46</v>
      </c>
      <c r="K247" s="25">
        <f t="shared" si="4"/>
        <v>0</v>
      </c>
    </row>
    <row r="248" spans="1:11" ht="15.95" customHeight="1" x14ac:dyDescent="0.2">
      <c r="A248" s="156" t="s">
        <v>420</v>
      </c>
      <c r="B248" s="369" t="s">
        <v>316</v>
      </c>
      <c r="C248" s="370"/>
      <c r="D248" s="370"/>
      <c r="E248" s="27">
        <v>-5355122.28</v>
      </c>
      <c r="F248" s="27">
        <v>0</v>
      </c>
      <c r="H248" s="27">
        <v>314614.26</v>
      </c>
      <c r="J248" s="27">
        <v>-5669736.54</v>
      </c>
      <c r="K248" s="25">
        <f t="shared" si="4"/>
        <v>-314614.25999999978</v>
      </c>
    </row>
    <row r="249" spans="1:11" ht="15.95" customHeight="1" x14ac:dyDescent="0.2">
      <c r="A249" s="156" t="s">
        <v>421</v>
      </c>
      <c r="B249" s="369" t="s">
        <v>318</v>
      </c>
      <c r="C249" s="370"/>
      <c r="D249" s="370"/>
      <c r="E249" s="27">
        <v>-905338.24</v>
      </c>
      <c r="F249" s="27">
        <v>0</v>
      </c>
      <c r="H249" s="27">
        <v>0</v>
      </c>
      <c r="J249" s="27">
        <v>-905338.24</v>
      </c>
      <c r="K249" s="25">
        <f t="shared" si="4"/>
        <v>0</v>
      </c>
    </row>
    <row r="250" spans="1:11" ht="15.95" customHeight="1" x14ac:dyDescent="0.2">
      <c r="A250" s="156" t="s">
        <v>422</v>
      </c>
      <c r="B250" s="369" t="s">
        <v>320</v>
      </c>
      <c r="C250" s="370"/>
      <c r="D250" s="370"/>
      <c r="E250" s="27">
        <v>-350775.54</v>
      </c>
      <c r="F250" s="27">
        <v>0</v>
      </c>
      <c r="H250" s="27">
        <v>36281.839999999997</v>
      </c>
      <c r="J250" s="27">
        <v>-387057.38</v>
      </c>
      <c r="K250" s="25">
        <f t="shared" si="4"/>
        <v>-36281.840000000026</v>
      </c>
    </row>
    <row r="251" spans="1:11" ht="15.95" customHeight="1" x14ac:dyDescent="0.2">
      <c r="A251" s="156" t="s">
        <v>423</v>
      </c>
      <c r="B251" s="369" t="s">
        <v>322</v>
      </c>
      <c r="C251" s="370"/>
      <c r="D251" s="370"/>
      <c r="E251" s="27">
        <v>-123943.43</v>
      </c>
      <c r="F251" s="27">
        <v>0</v>
      </c>
      <c r="H251" s="27">
        <v>0</v>
      </c>
      <c r="J251" s="27">
        <v>-123943.43</v>
      </c>
      <c r="K251" s="25">
        <f t="shared" si="4"/>
        <v>0</v>
      </c>
    </row>
    <row r="252" spans="1:11" ht="15.95" customHeight="1" x14ac:dyDescent="0.2">
      <c r="A252" s="156" t="s">
        <v>424</v>
      </c>
      <c r="B252" s="369" t="s">
        <v>425</v>
      </c>
      <c r="C252" s="370"/>
      <c r="D252" s="370"/>
      <c r="E252" s="27">
        <v>-13925.73</v>
      </c>
      <c r="F252" s="27">
        <v>0</v>
      </c>
      <c r="H252" s="27">
        <v>0</v>
      </c>
      <c r="J252" s="27">
        <v>-13925.73</v>
      </c>
      <c r="K252" s="25">
        <f t="shared" si="4"/>
        <v>0</v>
      </c>
    </row>
    <row r="253" spans="1:11" ht="15.95" customHeight="1" x14ac:dyDescent="0.2">
      <c r="A253" s="156" t="s">
        <v>426</v>
      </c>
      <c r="B253" s="369" t="s">
        <v>427</v>
      </c>
      <c r="C253" s="370"/>
      <c r="D253" s="370"/>
      <c r="E253" s="27">
        <v>-1970.82</v>
      </c>
      <c r="F253" s="27">
        <v>0</v>
      </c>
      <c r="H253" s="27">
        <v>0</v>
      </c>
      <c r="J253" s="27">
        <v>-1970.82</v>
      </c>
      <c r="K253" s="25">
        <f t="shared" si="4"/>
        <v>0</v>
      </c>
    </row>
    <row r="254" spans="1:11" ht="15.95" customHeight="1" x14ac:dyDescent="0.2">
      <c r="A254" s="156" t="s">
        <v>428</v>
      </c>
      <c r="B254" s="369" t="s">
        <v>429</v>
      </c>
      <c r="C254" s="370"/>
      <c r="D254" s="370"/>
      <c r="E254" s="27">
        <v>-421500.65</v>
      </c>
      <c r="F254" s="27">
        <v>0</v>
      </c>
      <c r="H254" s="27">
        <v>31552.560000000001</v>
      </c>
      <c r="J254" s="27">
        <v>-453053.21</v>
      </c>
      <c r="K254" s="25">
        <f t="shared" si="4"/>
        <v>-31552.559999999998</v>
      </c>
    </row>
    <row r="255" spans="1:11" ht="15.95" customHeight="1" x14ac:dyDescent="0.2">
      <c r="A255" s="156" t="s">
        <v>430</v>
      </c>
      <c r="B255" s="369" t="s">
        <v>431</v>
      </c>
      <c r="C255" s="370"/>
      <c r="D255" s="370"/>
      <c r="E255" s="27">
        <v>-1103943.46</v>
      </c>
      <c r="F255" s="27">
        <v>0</v>
      </c>
      <c r="H255" s="27">
        <v>27086.82</v>
      </c>
      <c r="J255" s="27">
        <v>-1131030.28</v>
      </c>
      <c r="K255" s="25">
        <f t="shared" si="4"/>
        <v>-27086.820000000065</v>
      </c>
    </row>
    <row r="256" spans="1:11" ht="15.95" customHeight="1" x14ac:dyDescent="0.2">
      <c r="A256" s="156" t="s">
        <v>432</v>
      </c>
      <c r="B256" s="369" t="s">
        <v>336</v>
      </c>
      <c r="C256" s="370"/>
      <c r="D256" s="370"/>
      <c r="E256" s="27">
        <v>-885569.08</v>
      </c>
      <c r="F256" s="27">
        <v>0</v>
      </c>
      <c r="H256" s="27">
        <v>117209.55</v>
      </c>
      <c r="J256" s="27">
        <v>-1002778.63</v>
      </c>
      <c r="K256" s="25">
        <f t="shared" si="4"/>
        <v>-117209.55000000005</v>
      </c>
    </row>
    <row r="257" spans="1:11" ht="15.95" customHeight="1" x14ac:dyDescent="0.2">
      <c r="A257" s="156" t="s">
        <v>433</v>
      </c>
      <c r="B257" s="369" t="s">
        <v>338</v>
      </c>
      <c r="C257" s="370"/>
      <c r="D257" s="370"/>
      <c r="E257" s="27">
        <v>0</v>
      </c>
      <c r="F257" s="27">
        <v>0</v>
      </c>
      <c r="H257" s="27">
        <v>71077.8</v>
      </c>
      <c r="J257" s="27">
        <v>-71077.8</v>
      </c>
      <c r="K257" s="25">
        <f t="shared" si="4"/>
        <v>-71077.8</v>
      </c>
    </row>
    <row r="258" spans="1:11" ht="15.95" customHeight="1" x14ac:dyDescent="0.2">
      <c r="A258" s="156">
        <v>1239903</v>
      </c>
      <c r="B258" s="369" t="s">
        <v>434</v>
      </c>
      <c r="C258" s="370"/>
      <c r="D258" s="370"/>
      <c r="E258" s="27">
        <v>5763425.5899999999</v>
      </c>
      <c r="F258" s="27">
        <v>608134.75</v>
      </c>
      <c r="H258" s="27">
        <v>0</v>
      </c>
      <c r="J258" s="27">
        <v>6371560.3399999999</v>
      </c>
      <c r="K258" s="25">
        <f t="shared" si="4"/>
        <v>608134.75</v>
      </c>
    </row>
    <row r="259" spans="1:11" ht="15.95" customHeight="1" x14ac:dyDescent="0.2">
      <c r="A259" s="156" t="s">
        <v>435</v>
      </c>
      <c r="B259" s="369" t="s">
        <v>300</v>
      </c>
      <c r="C259" s="370"/>
      <c r="D259" s="370"/>
      <c r="E259" s="27">
        <v>1371149.47</v>
      </c>
      <c r="F259" s="27">
        <v>172875.41</v>
      </c>
      <c r="H259" s="27">
        <v>0</v>
      </c>
      <c r="J259" s="27">
        <v>1544024.88</v>
      </c>
      <c r="K259" s="25">
        <f t="shared" si="4"/>
        <v>172875.40999999992</v>
      </c>
    </row>
    <row r="260" spans="1:11" ht="15.95" customHeight="1" x14ac:dyDescent="0.2">
      <c r="A260" s="156" t="s">
        <v>436</v>
      </c>
      <c r="B260" s="369" t="s">
        <v>304</v>
      </c>
      <c r="C260" s="370"/>
      <c r="D260" s="370"/>
      <c r="E260" s="27">
        <v>107014.75</v>
      </c>
      <c r="F260" s="27">
        <v>62377.24</v>
      </c>
      <c r="H260" s="27">
        <v>0</v>
      </c>
      <c r="J260" s="27">
        <v>169391.99</v>
      </c>
      <c r="K260" s="25">
        <f t="shared" si="4"/>
        <v>62377.239999999991</v>
      </c>
    </row>
    <row r="261" spans="1:11" ht="15.95" customHeight="1" x14ac:dyDescent="0.2">
      <c r="A261" s="156" t="s">
        <v>437</v>
      </c>
      <c r="B261" s="369" t="s">
        <v>306</v>
      </c>
      <c r="C261" s="370"/>
      <c r="D261" s="370"/>
      <c r="E261" s="27">
        <v>4269610.88</v>
      </c>
      <c r="F261" s="27">
        <v>372882.1</v>
      </c>
      <c r="H261" s="27">
        <v>0</v>
      </c>
      <c r="J261" s="27">
        <v>4642492.9800000004</v>
      </c>
      <c r="K261" s="25">
        <f t="shared" si="4"/>
        <v>372882.10000000056</v>
      </c>
    </row>
    <row r="262" spans="1:11" ht="15.95" customHeight="1" x14ac:dyDescent="0.2">
      <c r="A262" s="156" t="s">
        <v>438</v>
      </c>
      <c r="B262" s="369" t="s">
        <v>318</v>
      </c>
      <c r="C262" s="370"/>
      <c r="D262" s="370"/>
      <c r="E262" s="27">
        <v>15650.49</v>
      </c>
      <c r="F262" s="27">
        <v>0</v>
      </c>
      <c r="H262" s="27">
        <v>0</v>
      </c>
      <c r="J262" s="27">
        <v>15650.49</v>
      </c>
      <c r="K262" s="25">
        <f t="shared" si="4"/>
        <v>0</v>
      </c>
    </row>
    <row r="263" spans="1:11" ht="15.95" customHeight="1" x14ac:dyDescent="0.2">
      <c r="A263" s="156">
        <v>1239904</v>
      </c>
      <c r="B263" s="369" t="s">
        <v>439</v>
      </c>
      <c r="C263" s="370"/>
      <c r="D263" s="370"/>
      <c r="E263" s="27">
        <v>-20675071.739999998</v>
      </c>
      <c r="F263" s="27">
        <v>0</v>
      </c>
      <c r="H263" s="27">
        <v>7445496.0599999996</v>
      </c>
      <c r="J263" s="27">
        <v>-28120567.800000001</v>
      </c>
      <c r="K263" s="25">
        <f t="shared" si="4"/>
        <v>-7445496.0600000024</v>
      </c>
    </row>
    <row r="264" spans="1:11" ht="15.95" customHeight="1" x14ac:dyDescent="0.2">
      <c r="A264" s="156" t="s">
        <v>440</v>
      </c>
      <c r="B264" s="369" t="s">
        <v>441</v>
      </c>
      <c r="C264" s="370"/>
      <c r="D264" s="370"/>
      <c r="E264" s="27">
        <v>-19324779.989999998</v>
      </c>
      <c r="F264" s="27">
        <v>0</v>
      </c>
      <c r="H264" s="27">
        <v>6959391.0300000003</v>
      </c>
      <c r="J264" s="27">
        <v>-26284171.02</v>
      </c>
      <c r="K264" s="25">
        <f t="shared" si="4"/>
        <v>-6959391.0300000012</v>
      </c>
    </row>
    <row r="265" spans="1:11" ht="15.95" customHeight="1" x14ac:dyDescent="0.2">
      <c r="A265" s="156" t="s">
        <v>442</v>
      </c>
      <c r="B265" s="369" t="s">
        <v>443</v>
      </c>
      <c r="C265" s="370"/>
      <c r="D265" s="370"/>
      <c r="E265" s="27">
        <v>-227912.5</v>
      </c>
      <c r="F265" s="27">
        <v>0</v>
      </c>
      <c r="H265" s="27">
        <v>82048.5</v>
      </c>
      <c r="J265" s="27">
        <v>-309961</v>
      </c>
      <c r="K265" s="25">
        <f t="shared" si="4"/>
        <v>-82048.5</v>
      </c>
    </row>
    <row r="266" spans="1:11" ht="15.95" customHeight="1" x14ac:dyDescent="0.2">
      <c r="A266" s="156" t="s">
        <v>444</v>
      </c>
      <c r="B266" s="369" t="s">
        <v>355</v>
      </c>
      <c r="C266" s="370"/>
      <c r="D266" s="370"/>
      <c r="E266" s="27">
        <v>-736053.25</v>
      </c>
      <c r="F266" s="27">
        <v>0</v>
      </c>
      <c r="H266" s="27">
        <v>264979.17</v>
      </c>
      <c r="J266" s="27">
        <v>-1001032.42</v>
      </c>
      <c r="K266" s="25">
        <f t="shared" si="4"/>
        <v>-264979.17000000004</v>
      </c>
    </row>
    <row r="267" spans="1:11" ht="15.95" customHeight="1" x14ac:dyDescent="0.2">
      <c r="A267" s="156" t="s">
        <v>445</v>
      </c>
      <c r="B267" s="369" t="s">
        <v>357</v>
      </c>
      <c r="C267" s="370"/>
      <c r="D267" s="370"/>
      <c r="E267" s="27">
        <v>-2787.5</v>
      </c>
      <c r="F267" s="27">
        <v>0</v>
      </c>
      <c r="H267" s="27">
        <v>1003.5</v>
      </c>
      <c r="J267" s="27">
        <v>-3791</v>
      </c>
      <c r="K267" s="25">
        <f t="shared" si="4"/>
        <v>-1003.5</v>
      </c>
    </row>
    <row r="268" spans="1:11" ht="15.95" customHeight="1" x14ac:dyDescent="0.2">
      <c r="A268" s="156" t="s">
        <v>446</v>
      </c>
      <c r="B268" s="369" t="s">
        <v>447</v>
      </c>
      <c r="C268" s="370"/>
      <c r="D268" s="370"/>
      <c r="E268" s="27">
        <v>-383538.5</v>
      </c>
      <c r="F268" s="27">
        <v>0</v>
      </c>
      <c r="H268" s="27">
        <v>138073.85999999999</v>
      </c>
      <c r="J268" s="27">
        <v>-521612.36</v>
      </c>
      <c r="K268" s="25">
        <f t="shared" si="4"/>
        <v>-138073.85999999999</v>
      </c>
    </row>
    <row r="269" spans="1:11" ht="15.95" customHeight="1" x14ac:dyDescent="0.2">
      <c r="A269" s="156">
        <v>124</v>
      </c>
      <c r="B269" s="369" t="s">
        <v>448</v>
      </c>
      <c r="C269" s="370"/>
      <c r="D269" s="370"/>
      <c r="E269" s="27">
        <v>2190000</v>
      </c>
      <c r="F269" s="27">
        <v>60906.2</v>
      </c>
      <c r="H269" s="27">
        <v>968001.77</v>
      </c>
      <c r="J269" s="27">
        <v>1282904.43</v>
      </c>
      <c r="K269" s="25">
        <f t="shared" si="4"/>
        <v>-907095.57000000007</v>
      </c>
    </row>
    <row r="270" spans="1:11" ht="15.95" customHeight="1" x14ac:dyDescent="0.2">
      <c r="A270" s="163">
        <v>12401</v>
      </c>
      <c r="B270" s="371" t="s">
        <v>448</v>
      </c>
      <c r="C270" s="372"/>
      <c r="D270" s="372"/>
      <c r="E270" s="29">
        <v>7519654.9800000004</v>
      </c>
      <c r="F270" s="29">
        <v>60906.2</v>
      </c>
      <c r="G270" s="164"/>
      <c r="H270" s="29">
        <v>0</v>
      </c>
      <c r="I270" s="164"/>
      <c r="J270" s="29">
        <v>7580561.1799999997</v>
      </c>
      <c r="K270" s="31">
        <f t="shared" si="4"/>
        <v>60906.199999999255</v>
      </c>
    </row>
    <row r="271" spans="1:11" ht="15.95" customHeight="1" x14ac:dyDescent="0.2">
      <c r="A271" s="156">
        <v>1240101</v>
      </c>
      <c r="B271" s="369" t="s">
        <v>448</v>
      </c>
      <c r="C271" s="370"/>
      <c r="D271" s="370"/>
      <c r="E271" s="27">
        <v>7519654.9800000004</v>
      </c>
      <c r="F271" s="27">
        <v>60906.2</v>
      </c>
      <c r="H271" s="27">
        <v>0</v>
      </c>
      <c r="J271" s="27">
        <v>7580561.1799999997</v>
      </c>
      <c r="K271" s="25">
        <f t="shared" si="4"/>
        <v>60906.199999999255</v>
      </c>
    </row>
    <row r="272" spans="1:11" ht="15.95" customHeight="1" x14ac:dyDescent="0.2">
      <c r="A272" s="156" t="s">
        <v>449</v>
      </c>
      <c r="B272" s="369" t="s">
        <v>450</v>
      </c>
      <c r="C272" s="370"/>
      <c r="D272" s="370"/>
      <c r="E272" s="27">
        <v>7519654.9800000004</v>
      </c>
      <c r="F272" s="27">
        <v>60906.2</v>
      </c>
      <c r="H272" s="27">
        <v>0</v>
      </c>
      <c r="J272" s="27">
        <v>7580561.1799999997</v>
      </c>
      <c r="K272" s="25">
        <f t="shared" si="4"/>
        <v>60906.199999999255</v>
      </c>
    </row>
    <row r="273" spans="1:11" ht="15.95" customHeight="1" x14ac:dyDescent="0.2">
      <c r="A273" s="156">
        <v>12499</v>
      </c>
      <c r="B273" s="369" t="s">
        <v>451</v>
      </c>
      <c r="C273" s="370"/>
      <c r="D273" s="370"/>
      <c r="E273" s="27">
        <v>-5329654.9800000004</v>
      </c>
      <c r="F273" s="27">
        <v>0</v>
      </c>
      <c r="H273" s="27">
        <v>968001.77</v>
      </c>
      <c r="J273" s="27">
        <v>-6297656.75</v>
      </c>
      <c r="K273" s="25">
        <f t="shared" si="4"/>
        <v>-968001.76999999955</v>
      </c>
    </row>
    <row r="274" spans="1:11" ht="15.95" customHeight="1" x14ac:dyDescent="0.2">
      <c r="A274" s="156">
        <v>1249901</v>
      </c>
      <c r="B274" s="369" t="s">
        <v>451</v>
      </c>
      <c r="C274" s="370"/>
      <c r="D274" s="370"/>
      <c r="E274" s="27">
        <v>-5328125.7</v>
      </c>
      <c r="F274" s="27">
        <v>0</v>
      </c>
      <c r="H274" s="27">
        <v>968001.77</v>
      </c>
      <c r="J274" s="27">
        <v>-6296127.4699999997</v>
      </c>
      <c r="K274" s="25">
        <f t="shared" si="4"/>
        <v>-968001.76999999955</v>
      </c>
    </row>
    <row r="275" spans="1:11" ht="27.95" customHeight="1" x14ac:dyDescent="0.2">
      <c r="A275" s="156" t="s">
        <v>452</v>
      </c>
      <c r="B275" s="369" t="s">
        <v>450</v>
      </c>
      <c r="C275" s="370"/>
      <c r="D275" s="370"/>
      <c r="E275" s="27">
        <v>-5328125.7</v>
      </c>
      <c r="F275" s="27">
        <v>0</v>
      </c>
      <c r="H275" s="27">
        <v>968001.77</v>
      </c>
      <c r="J275" s="27">
        <v>-6296127.4699999997</v>
      </c>
      <c r="K275" s="25">
        <f t="shared" si="4"/>
        <v>-968001.76999999955</v>
      </c>
    </row>
    <row r="276" spans="1:11" ht="15.95" customHeight="1" x14ac:dyDescent="0.2">
      <c r="A276" s="156">
        <v>1249902</v>
      </c>
      <c r="B276" s="369" t="s">
        <v>453</v>
      </c>
      <c r="C276" s="370"/>
      <c r="D276" s="370"/>
      <c r="E276" s="27">
        <v>-1529.28</v>
      </c>
      <c r="F276" s="27">
        <v>0</v>
      </c>
      <c r="H276" s="27">
        <v>0</v>
      </c>
      <c r="J276" s="27">
        <v>-1529.28</v>
      </c>
      <c r="K276" s="25">
        <f t="shared" si="4"/>
        <v>0</v>
      </c>
    </row>
    <row r="277" spans="1:11" ht="15.95" customHeight="1" x14ac:dyDescent="0.2">
      <c r="A277" s="156" t="s">
        <v>454</v>
      </c>
      <c r="B277" s="369" t="s">
        <v>453</v>
      </c>
      <c r="C277" s="370"/>
      <c r="D277" s="370"/>
      <c r="E277" s="27">
        <v>-1529.28</v>
      </c>
      <c r="F277" s="27">
        <v>0</v>
      </c>
      <c r="H277" s="27">
        <v>0</v>
      </c>
      <c r="J277" s="27">
        <v>-1529.28</v>
      </c>
      <c r="K277" s="25">
        <f t="shared" si="4"/>
        <v>0</v>
      </c>
    </row>
    <row r="278" spans="1:11" ht="15.95" customHeight="1" x14ac:dyDescent="0.2">
      <c r="A278" s="156">
        <v>13</v>
      </c>
      <c r="B278" s="369" t="s">
        <v>455</v>
      </c>
      <c r="C278" s="370"/>
      <c r="D278" s="370"/>
      <c r="E278" s="27">
        <v>1236717.49</v>
      </c>
      <c r="F278" s="27">
        <v>0</v>
      </c>
      <c r="H278" s="27">
        <v>0</v>
      </c>
      <c r="J278" s="27">
        <v>1236717.49</v>
      </c>
      <c r="K278" s="25">
        <f t="shared" si="4"/>
        <v>0</v>
      </c>
    </row>
    <row r="279" spans="1:11" ht="15.95" customHeight="1" x14ac:dyDescent="0.2">
      <c r="A279" s="156">
        <v>131</v>
      </c>
      <c r="B279" s="369" t="s">
        <v>456</v>
      </c>
      <c r="C279" s="370"/>
      <c r="D279" s="370"/>
      <c r="E279" s="27">
        <v>1236717.49</v>
      </c>
      <c r="F279" s="27">
        <v>0</v>
      </c>
      <c r="H279" s="27">
        <v>0</v>
      </c>
      <c r="J279" s="27">
        <v>1236717.49</v>
      </c>
      <c r="K279" s="25">
        <f t="shared" si="4"/>
        <v>0</v>
      </c>
    </row>
    <row r="280" spans="1:11" ht="15.95" customHeight="1" x14ac:dyDescent="0.2">
      <c r="A280" s="156">
        <v>13101</v>
      </c>
      <c r="B280" s="369" t="s">
        <v>344</v>
      </c>
      <c r="C280" s="370"/>
      <c r="D280" s="370"/>
      <c r="E280" s="27">
        <v>1236717.49</v>
      </c>
      <c r="F280" s="27">
        <v>0</v>
      </c>
      <c r="H280" s="27">
        <v>0</v>
      </c>
      <c r="J280" s="27">
        <v>1236717.49</v>
      </c>
      <c r="K280" s="25">
        <f t="shared" si="4"/>
        <v>0</v>
      </c>
    </row>
    <row r="281" spans="1:11" ht="15.95" customHeight="1" x14ac:dyDescent="0.2">
      <c r="A281" s="156">
        <v>1310101</v>
      </c>
      <c r="B281" s="369" t="s">
        <v>457</v>
      </c>
      <c r="C281" s="370"/>
      <c r="D281" s="370"/>
      <c r="E281" s="27">
        <v>1236717.49</v>
      </c>
      <c r="F281" s="27">
        <v>0</v>
      </c>
      <c r="H281" s="27">
        <v>0</v>
      </c>
      <c r="J281" s="27">
        <v>1236717.49</v>
      </c>
      <c r="K281" s="25">
        <f t="shared" si="4"/>
        <v>0</v>
      </c>
    </row>
    <row r="282" spans="1:11" ht="15.95" customHeight="1" x14ac:dyDescent="0.2">
      <c r="A282" s="156" t="s">
        <v>458</v>
      </c>
      <c r="B282" s="369" t="s">
        <v>459</v>
      </c>
      <c r="C282" s="370"/>
      <c r="D282" s="370"/>
      <c r="E282" s="27">
        <v>1236717.49</v>
      </c>
      <c r="F282" s="27">
        <v>0</v>
      </c>
      <c r="H282" s="27">
        <v>0</v>
      </c>
      <c r="J282" s="27">
        <v>1236717.49</v>
      </c>
      <c r="K282" s="25">
        <f t="shared" si="4"/>
        <v>0</v>
      </c>
    </row>
    <row r="283" spans="1:11" ht="15.95" customHeight="1" x14ac:dyDescent="0.2">
      <c r="A283" s="156">
        <v>2</v>
      </c>
      <c r="B283" s="369" t="s">
        <v>460</v>
      </c>
      <c r="C283" s="370"/>
      <c r="D283" s="370"/>
      <c r="E283" s="27">
        <v>-337159374.25999999</v>
      </c>
      <c r="F283" s="27">
        <v>142908807.21000001</v>
      </c>
      <c r="H283" s="27">
        <v>121425762.92</v>
      </c>
      <c r="J283" s="27">
        <v>-315676329.97000003</v>
      </c>
      <c r="K283" s="25">
        <f t="shared" si="4"/>
        <v>21483044.289999962</v>
      </c>
    </row>
    <row r="284" spans="1:11" ht="15.95" customHeight="1" x14ac:dyDescent="0.2">
      <c r="A284" s="156">
        <v>21</v>
      </c>
      <c r="B284" s="369" t="s">
        <v>461</v>
      </c>
      <c r="C284" s="370"/>
      <c r="D284" s="370"/>
      <c r="E284" s="27">
        <v>-16440110.85</v>
      </c>
      <c r="F284" s="27">
        <v>58035738.5</v>
      </c>
      <c r="H284" s="27">
        <v>56309363.240000002</v>
      </c>
      <c r="J284" s="27">
        <v>-14713735.59</v>
      </c>
      <c r="K284" s="25">
        <f t="shared" si="4"/>
        <v>1726375.2599999998</v>
      </c>
    </row>
    <row r="285" spans="1:11" ht="15.95" customHeight="1" x14ac:dyDescent="0.2">
      <c r="A285" s="163">
        <v>211</v>
      </c>
      <c r="B285" s="371" t="s">
        <v>462</v>
      </c>
      <c r="C285" s="372"/>
      <c r="D285" s="372"/>
      <c r="E285" s="29">
        <v>-3566348.28</v>
      </c>
      <c r="F285" s="29">
        <v>23759824.629999999</v>
      </c>
      <c r="G285" s="164"/>
      <c r="H285" s="29">
        <v>21534945.609999999</v>
      </c>
      <c r="I285" s="164"/>
      <c r="J285" s="29">
        <v>-1341469.26</v>
      </c>
      <c r="K285" s="31">
        <f t="shared" si="4"/>
        <v>2224879.0199999996</v>
      </c>
    </row>
    <row r="286" spans="1:11" ht="15.95" customHeight="1" x14ac:dyDescent="0.2">
      <c r="A286" s="156">
        <v>21101</v>
      </c>
      <c r="B286" s="369" t="s">
        <v>462</v>
      </c>
      <c r="C286" s="370"/>
      <c r="D286" s="370"/>
      <c r="E286" s="27">
        <v>-3566348.28</v>
      </c>
      <c r="F286" s="27">
        <v>23759824.629999999</v>
      </c>
      <c r="H286" s="27">
        <v>21534945.609999999</v>
      </c>
      <c r="J286" s="27">
        <v>-1341469.26</v>
      </c>
      <c r="K286" s="25">
        <f t="shared" si="4"/>
        <v>2224879.0199999996</v>
      </c>
    </row>
    <row r="287" spans="1:11" ht="15.95" customHeight="1" x14ac:dyDescent="0.2">
      <c r="A287" s="156">
        <v>2110101</v>
      </c>
      <c r="B287" s="369" t="s">
        <v>463</v>
      </c>
      <c r="C287" s="370"/>
      <c r="D287" s="370"/>
      <c r="E287" s="27">
        <v>-3161666.4</v>
      </c>
      <c r="F287" s="27">
        <v>20552176.559999999</v>
      </c>
      <c r="H287" s="27">
        <v>18728186.260000002</v>
      </c>
      <c r="J287" s="27">
        <v>-1337676.1000000001</v>
      </c>
      <c r="K287" s="25">
        <f t="shared" si="4"/>
        <v>1823990.2999999998</v>
      </c>
    </row>
    <row r="288" spans="1:11" ht="15.95" customHeight="1" x14ac:dyDescent="0.2">
      <c r="A288" s="156" t="s">
        <v>464</v>
      </c>
      <c r="B288" s="369" t="s">
        <v>465</v>
      </c>
      <c r="C288" s="370"/>
      <c r="D288" s="370"/>
      <c r="E288" s="27">
        <v>-72694.399999999994</v>
      </c>
      <c r="F288" s="27">
        <v>721170.07</v>
      </c>
      <c r="H288" s="27">
        <v>750274.12</v>
      </c>
      <c r="J288" s="27">
        <v>-101798.45</v>
      </c>
      <c r="K288" s="25">
        <f t="shared" si="4"/>
        <v>-29104.050000000003</v>
      </c>
    </row>
    <row r="289" spans="1:11" ht="15.95" customHeight="1" x14ac:dyDescent="0.2">
      <c r="A289" s="156" t="s">
        <v>466</v>
      </c>
      <c r="B289" s="369" t="s">
        <v>1809</v>
      </c>
      <c r="C289" s="370"/>
      <c r="D289" s="370"/>
      <c r="E289" s="27">
        <v>-1008457.32</v>
      </c>
      <c r="F289" s="27">
        <v>4039033.7</v>
      </c>
      <c r="H289" s="27">
        <v>3071104.89</v>
      </c>
      <c r="J289" s="27">
        <v>-40528.51</v>
      </c>
      <c r="K289" s="25">
        <f t="shared" si="4"/>
        <v>967928.80999999994</v>
      </c>
    </row>
    <row r="290" spans="1:11" ht="15.95" customHeight="1" x14ac:dyDescent="0.2">
      <c r="A290" s="156" t="s">
        <v>468</v>
      </c>
      <c r="B290" s="369" t="s">
        <v>469</v>
      </c>
      <c r="C290" s="370"/>
      <c r="D290" s="370"/>
      <c r="E290" s="27">
        <v>-4246.2700000000004</v>
      </c>
      <c r="F290" s="27">
        <v>17243.23</v>
      </c>
      <c r="H290" s="27">
        <v>12996.96</v>
      </c>
      <c r="J290" s="27">
        <v>0</v>
      </c>
      <c r="K290" s="25">
        <f t="shared" si="4"/>
        <v>4246.2700000000004</v>
      </c>
    </row>
    <row r="291" spans="1:11" ht="15.95" customHeight="1" x14ac:dyDescent="0.2">
      <c r="A291" s="156" t="s">
        <v>470</v>
      </c>
      <c r="B291" s="369" t="s">
        <v>471</v>
      </c>
      <c r="C291" s="370"/>
      <c r="D291" s="370"/>
      <c r="E291" s="27">
        <v>-6464.94</v>
      </c>
      <c r="F291" s="27">
        <v>150285.72</v>
      </c>
      <c r="H291" s="27">
        <v>165603.94</v>
      </c>
      <c r="J291" s="27">
        <v>-21783.16</v>
      </c>
      <c r="K291" s="25">
        <f t="shared" si="4"/>
        <v>-15318.220000000001</v>
      </c>
    </row>
    <row r="292" spans="1:11" ht="15.95" customHeight="1" x14ac:dyDescent="0.2">
      <c r="A292" s="156" t="s">
        <v>1487</v>
      </c>
      <c r="B292" s="369" t="s">
        <v>1488</v>
      </c>
      <c r="C292" s="370"/>
      <c r="D292" s="370"/>
      <c r="E292" s="27">
        <v>-82859.820000000007</v>
      </c>
      <c r="F292" s="27">
        <v>176044.24</v>
      </c>
      <c r="H292" s="27">
        <v>104270</v>
      </c>
      <c r="J292" s="27">
        <v>-11085.58</v>
      </c>
      <c r="K292" s="25">
        <f t="shared" si="4"/>
        <v>71774.240000000005</v>
      </c>
    </row>
    <row r="293" spans="1:11" ht="15.95" customHeight="1" x14ac:dyDescent="0.2">
      <c r="A293" s="156" t="s">
        <v>472</v>
      </c>
      <c r="B293" s="369" t="s">
        <v>473</v>
      </c>
      <c r="C293" s="370"/>
      <c r="D293" s="370"/>
      <c r="E293" s="27">
        <v>0</v>
      </c>
      <c r="F293" s="27">
        <v>46164.53</v>
      </c>
      <c r="H293" s="27">
        <v>47709.67</v>
      </c>
      <c r="J293" s="27">
        <v>-1545.14</v>
      </c>
      <c r="K293" s="25">
        <f t="shared" si="4"/>
        <v>-1545.14</v>
      </c>
    </row>
    <row r="294" spans="1:11" ht="15.95" customHeight="1" x14ac:dyDescent="0.2">
      <c r="A294" s="156" t="s">
        <v>474</v>
      </c>
      <c r="B294" s="369" t="s">
        <v>475</v>
      </c>
      <c r="C294" s="370"/>
      <c r="D294" s="370"/>
      <c r="E294" s="27">
        <v>0</v>
      </c>
      <c r="F294" s="27">
        <v>15114.79</v>
      </c>
      <c r="H294" s="27">
        <v>15114.79</v>
      </c>
      <c r="J294" s="27">
        <v>0</v>
      </c>
      <c r="K294" s="25">
        <f t="shared" si="4"/>
        <v>0</v>
      </c>
    </row>
    <row r="295" spans="1:11" ht="15.95" customHeight="1" x14ac:dyDescent="0.2">
      <c r="A295" s="156" t="s">
        <v>476</v>
      </c>
      <c r="B295" s="369" t="s">
        <v>477</v>
      </c>
      <c r="C295" s="370"/>
      <c r="D295" s="370"/>
      <c r="E295" s="27">
        <v>0</v>
      </c>
      <c r="F295" s="27">
        <v>12104.07</v>
      </c>
      <c r="H295" s="27">
        <v>13695</v>
      </c>
      <c r="J295" s="27">
        <v>-1590.93</v>
      </c>
      <c r="K295" s="25">
        <f t="shared" si="4"/>
        <v>-1590.93</v>
      </c>
    </row>
    <row r="296" spans="1:11" ht="15.95" customHeight="1" x14ac:dyDescent="0.2">
      <c r="A296" s="156" t="s">
        <v>1489</v>
      </c>
      <c r="B296" s="369" t="s">
        <v>1490</v>
      </c>
      <c r="C296" s="370"/>
      <c r="D296" s="370"/>
      <c r="E296" s="27">
        <v>0</v>
      </c>
      <c r="F296" s="27">
        <v>40990.86</v>
      </c>
      <c r="H296" s="27">
        <v>46249.94</v>
      </c>
      <c r="J296" s="27">
        <v>-5259.08</v>
      </c>
      <c r="K296" s="25">
        <f t="shared" si="4"/>
        <v>-5259.08</v>
      </c>
    </row>
    <row r="297" spans="1:11" ht="15.95" customHeight="1" x14ac:dyDescent="0.2">
      <c r="A297" s="156" t="s">
        <v>1491</v>
      </c>
      <c r="B297" s="369" t="s">
        <v>1492</v>
      </c>
      <c r="C297" s="370"/>
      <c r="D297" s="370"/>
      <c r="E297" s="27">
        <v>-333069.58</v>
      </c>
      <c r="F297" s="27">
        <v>1321266.27</v>
      </c>
      <c r="H297" s="27">
        <v>988196.69</v>
      </c>
      <c r="J297" s="27">
        <v>0</v>
      </c>
      <c r="K297" s="25">
        <f t="shared" ref="K297:K354" si="5">J297-E297</f>
        <v>333069.58</v>
      </c>
    </row>
    <row r="298" spans="1:11" ht="15.95" customHeight="1" x14ac:dyDescent="0.2">
      <c r="A298" s="156" t="s">
        <v>1493</v>
      </c>
      <c r="B298" s="369" t="s">
        <v>1494</v>
      </c>
      <c r="C298" s="370"/>
      <c r="D298" s="370"/>
      <c r="E298" s="27">
        <v>-43091.42</v>
      </c>
      <c r="F298" s="27">
        <v>43091.42</v>
      </c>
      <c r="H298" s="27">
        <v>0</v>
      </c>
      <c r="J298" s="27">
        <v>0</v>
      </c>
      <c r="K298" s="25">
        <f t="shared" si="5"/>
        <v>43091.42</v>
      </c>
    </row>
    <row r="299" spans="1:11" ht="15.95" customHeight="1" x14ac:dyDescent="0.2">
      <c r="A299" s="156" t="s">
        <v>478</v>
      </c>
      <c r="B299" s="369" t="s">
        <v>479</v>
      </c>
      <c r="C299" s="370"/>
      <c r="D299" s="370"/>
      <c r="E299" s="27">
        <v>0</v>
      </c>
      <c r="F299" s="27">
        <v>19094.599999999999</v>
      </c>
      <c r="H299" s="27">
        <v>19094.599999999999</v>
      </c>
      <c r="J299" s="27">
        <v>0</v>
      </c>
      <c r="K299" s="25">
        <f t="shared" si="5"/>
        <v>0</v>
      </c>
    </row>
    <row r="300" spans="1:11" ht="15.95" customHeight="1" x14ac:dyDescent="0.2">
      <c r="A300" s="156" t="s">
        <v>480</v>
      </c>
      <c r="B300" s="369" t="s">
        <v>481</v>
      </c>
      <c r="C300" s="370"/>
      <c r="D300" s="370"/>
      <c r="E300" s="27">
        <v>0</v>
      </c>
      <c r="F300" s="27">
        <v>10458.68</v>
      </c>
      <c r="H300" s="27">
        <v>11500</v>
      </c>
      <c r="J300" s="27">
        <v>-1041.32</v>
      </c>
      <c r="K300" s="25">
        <f t="shared" si="5"/>
        <v>-1041.32</v>
      </c>
    </row>
    <row r="301" spans="1:11" ht="15.95" customHeight="1" x14ac:dyDescent="0.2">
      <c r="A301" s="156" t="s">
        <v>1595</v>
      </c>
      <c r="B301" s="369" t="s">
        <v>1596</v>
      </c>
      <c r="C301" s="370"/>
      <c r="D301" s="370"/>
      <c r="E301" s="27">
        <v>0</v>
      </c>
      <c r="F301" s="27">
        <v>848.06</v>
      </c>
      <c r="H301" s="27">
        <v>848.06</v>
      </c>
      <c r="J301" s="27">
        <v>0</v>
      </c>
      <c r="K301" s="25">
        <f t="shared" si="5"/>
        <v>0</v>
      </c>
    </row>
    <row r="302" spans="1:11" ht="15.95" customHeight="1" x14ac:dyDescent="0.2">
      <c r="A302" s="156" t="s">
        <v>1495</v>
      </c>
      <c r="B302" s="369" t="s">
        <v>1496</v>
      </c>
      <c r="C302" s="370"/>
      <c r="D302" s="370"/>
      <c r="E302" s="27">
        <v>0</v>
      </c>
      <c r="F302" s="27">
        <v>10336.629999999999</v>
      </c>
      <c r="H302" s="27">
        <v>10336.629999999999</v>
      </c>
      <c r="J302" s="27">
        <v>0</v>
      </c>
      <c r="K302" s="25">
        <f t="shared" si="5"/>
        <v>0</v>
      </c>
    </row>
    <row r="303" spans="1:11" ht="15.95" customHeight="1" x14ac:dyDescent="0.2">
      <c r="A303" s="156" t="s">
        <v>482</v>
      </c>
      <c r="B303" s="369" t="s">
        <v>483</v>
      </c>
      <c r="C303" s="370"/>
      <c r="D303" s="370"/>
      <c r="E303" s="27">
        <v>0</v>
      </c>
      <c r="F303" s="27">
        <v>31800.25</v>
      </c>
      <c r="H303" s="27">
        <v>31800.25</v>
      </c>
      <c r="J303" s="27">
        <v>0</v>
      </c>
      <c r="K303" s="25">
        <f t="shared" si="5"/>
        <v>0</v>
      </c>
    </row>
    <row r="304" spans="1:11" ht="15.95" customHeight="1" x14ac:dyDescent="0.2">
      <c r="A304" s="156" t="s">
        <v>484</v>
      </c>
      <c r="B304" s="369" t="s">
        <v>485</v>
      </c>
      <c r="C304" s="370"/>
      <c r="D304" s="370"/>
      <c r="E304" s="27">
        <v>0</v>
      </c>
      <c r="F304" s="27">
        <v>7582.06</v>
      </c>
      <c r="H304" s="27">
        <v>7582.06</v>
      </c>
      <c r="J304" s="27">
        <v>0</v>
      </c>
      <c r="K304" s="25">
        <f t="shared" si="5"/>
        <v>0</v>
      </c>
    </row>
    <row r="305" spans="1:11" ht="15.95" customHeight="1" x14ac:dyDescent="0.2">
      <c r="A305" s="156" t="s">
        <v>486</v>
      </c>
      <c r="B305" s="369" t="s">
        <v>487</v>
      </c>
      <c r="C305" s="370"/>
      <c r="D305" s="370"/>
      <c r="E305" s="27">
        <v>0</v>
      </c>
      <c r="F305" s="27">
        <v>6832.89</v>
      </c>
      <c r="H305" s="27">
        <v>6832.89</v>
      </c>
      <c r="J305" s="27">
        <v>0</v>
      </c>
      <c r="K305" s="25">
        <f t="shared" si="5"/>
        <v>0</v>
      </c>
    </row>
    <row r="306" spans="1:11" ht="15.95" customHeight="1" x14ac:dyDescent="0.2">
      <c r="A306" s="156" t="s">
        <v>488</v>
      </c>
      <c r="B306" s="369" t="s">
        <v>489</v>
      </c>
      <c r="C306" s="370"/>
      <c r="D306" s="370"/>
      <c r="E306" s="27">
        <v>-129078.55</v>
      </c>
      <c r="F306" s="27">
        <v>1145609.26</v>
      </c>
      <c r="H306" s="27">
        <v>1151757.17</v>
      </c>
      <c r="J306" s="27">
        <v>-135226.46</v>
      </c>
      <c r="K306" s="25">
        <f t="shared" si="5"/>
        <v>-6147.9099999999889</v>
      </c>
    </row>
    <row r="307" spans="1:11" ht="15.95" customHeight="1" x14ac:dyDescent="0.2">
      <c r="A307" s="156" t="s">
        <v>490</v>
      </c>
      <c r="B307" s="369" t="s">
        <v>491</v>
      </c>
      <c r="C307" s="370"/>
      <c r="D307" s="370"/>
      <c r="E307" s="27">
        <v>0</v>
      </c>
      <c r="F307" s="27">
        <v>27534.2</v>
      </c>
      <c r="H307" s="27">
        <v>32226.54</v>
      </c>
      <c r="J307" s="27">
        <v>-4692.34</v>
      </c>
      <c r="K307" s="25">
        <f t="shared" si="5"/>
        <v>-4692.34</v>
      </c>
    </row>
    <row r="308" spans="1:11" ht="15.95" customHeight="1" x14ac:dyDescent="0.2">
      <c r="A308" s="156" t="s">
        <v>492</v>
      </c>
      <c r="B308" s="369" t="s">
        <v>493</v>
      </c>
      <c r="C308" s="370"/>
      <c r="D308" s="370"/>
      <c r="E308" s="27">
        <v>0</v>
      </c>
      <c r="F308" s="27">
        <v>1789.44</v>
      </c>
      <c r="H308" s="27">
        <v>1789.44</v>
      </c>
      <c r="J308" s="27">
        <v>0</v>
      </c>
      <c r="K308" s="25">
        <f t="shared" si="5"/>
        <v>0</v>
      </c>
    </row>
    <row r="309" spans="1:11" ht="15.95" customHeight="1" x14ac:dyDescent="0.2">
      <c r="A309" s="156" t="s">
        <v>494</v>
      </c>
      <c r="B309" s="369" t="s">
        <v>495</v>
      </c>
      <c r="C309" s="370"/>
      <c r="D309" s="370"/>
      <c r="E309" s="27">
        <v>0</v>
      </c>
      <c r="F309" s="27">
        <v>746.09</v>
      </c>
      <c r="H309" s="27">
        <v>746.09</v>
      </c>
      <c r="J309" s="27">
        <v>0</v>
      </c>
      <c r="K309" s="25">
        <f t="shared" si="5"/>
        <v>0</v>
      </c>
    </row>
    <row r="310" spans="1:11" ht="15.95" customHeight="1" x14ac:dyDescent="0.2">
      <c r="A310" s="156" t="s">
        <v>496</v>
      </c>
      <c r="B310" s="369" t="s">
        <v>497</v>
      </c>
      <c r="C310" s="370"/>
      <c r="D310" s="370"/>
      <c r="E310" s="27">
        <v>-119502.26</v>
      </c>
      <c r="F310" s="27">
        <v>0</v>
      </c>
      <c r="H310" s="27">
        <v>0</v>
      </c>
      <c r="J310" s="27">
        <v>-119502.26</v>
      </c>
      <c r="K310" s="25">
        <f t="shared" si="5"/>
        <v>0</v>
      </c>
    </row>
    <row r="311" spans="1:11" ht="15.95" customHeight="1" x14ac:dyDescent="0.2">
      <c r="A311" s="156" t="s">
        <v>498</v>
      </c>
      <c r="B311" s="369" t="s">
        <v>499</v>
      </c>
      <c r="C311" s="370"/>
      <c r="D311" s="370"/>
      <c r="E311" s="27">
        <v>-1095.99</v>
      </c>
      <c r="F311" s="27">
        <v>11492.38</v>
      </c>
      <c r="H311" s="27">
        <v>11575.28</v>
      </c>
      <c r="J311" s="27">
        <v>-1178.8900000000001</v>
      </c>
      <c r="K311" s="25">
        <f t="shared" si="5"/>
        <v>-82.900000000000091</v>
      </c>
    </row>
    <row r="312" spans="1:11" ht="15.95" customHeight="1" x14ac:dyDescent="0.2">
      <c r="A312" s="156" t="s">
        <v>500</v>
      </c>
      <c r="B312" s="369" t="s">
        <v>501</v>
      </c>
      <c r="C312" s="370"/>
      <c r="D312" s="370"/>
      <c r="E312" s="27">
        <v>0</v>
      </c>
      <c r="F312" s="27">
        <v>12050.96</v>
      </c>
      <c r="H312" s="27">
        <v>12050.96</v>
      </c>
      <c r="J312" s="27">
        <v>0</v>
      </c>
      <c r="K312" s="25">
        <f t="shared" si="5"/>
        <v>0</v>
      </c>
    </row>
    <row r="313" spans="1:11" ht="15.95" customHeight="1" x14ac:dyDescent="0.2">
      <c r="A313" s="156" t="s">
        <v>1497</v>
      </c>
      <c r="B313" s="369" t="s">
        <v>1498</v>
      </c>
      <c r="C313" s="370"/>
      <c r="D313" s="370"/>
      <c r="E313" s="27">
        <v>-254415.56</v>
      </c>
      <c r="F313" s="27">
        <v>254415.56</v>
      </c>
      <c r="H313" s="27">
        <v>0</v>
      </c>
      <c r="J313" s="27">
        <v>0</v>
      </c>
      <c r="K313" s="25">
        <f t="shared" si="5"/>
        <v>254415.56</v>
      </c>
    </row>
    <row r="314" spans="1:11" ht="15.95" customHeight="1" x14ac:dyDescent="0.2">
      <c r="A314" s="156" t="s">
        <v>502</v>
      </c>
      <c r="B314" s="369" t="s">
        <v>503</v>
      </c>
      <c r="C314" s="370"/>
      <c r="D314" s="370"/>
      <c r="E314" s="27">
        <v>0</v>
      </c>
      <c r="F314" s="27">
        <v>2003828.25</v>
      </c>
      <c r="H314" s="27">
        <v>2065189.75</v>
      </c>
      <c r="J314" s="27">
        <v>-61361.5</v>
      </c>
      <c r="K314" s="25">
        <f t="shared" si="5"/>
        <v>-61361.5</v>
      </c>
    </row>
    <row r="315" spans="1:11" ht="15.95" customHeight="1" x14ac:dyDescent="0.2">
      <c r="A315" s="156" t="s">
        <v>504</v>
      </c>
      <c r="B315" s="369" t="s">
        <v>505</v>
      </c>
      <c r="C315" s="370"/>
      <c r="D315" s="370"/>
      <c r="E315" s="27">
        <v>-3169.28</v>
      </c>
      <c r="F315" s="27">
        <v>33740.559999999998</v>
      </c>
      <c r="H315" s="27">
        <v>33760.26</v>
      </c>
      <c r="J315" s="27">
        <v>-3188.98</v>
      </c>
      <c r="K315" s="25">
        <f t="shared" si="5"/>
        <v>-19.699999999999818</v>
      </c>
    </row>
    <row r="316" spans="1:11" ht="15.95" customHeight="1" x14ac:dyDescent="0.2">
      <c r="A316" s="156" t="s">
        <v>506</v>
      </c>
      <c r="B316" s="369" t="s">
        <v>507</v>
      </c>
      <c r="C316" s="370"/>
      <c r="D316" s="370"/>
      <c r="E316" s="27">
        <v>-6.69</v>
      </c>
      <c r="F316" s="27">
        <v>1128050.55</v>
      </c>
      <c r="H316" s="27">
        <v>1128043.8600000001</v>
      </c>
      <c r="J316" s="27">
        <v>0</v>
      </c>
      <c r="K316" s="25">
        <f t="shared" si="5"/>
        <v>6.69</v>
      </c>
    </row>
    <row r="317" spans="1:11" ht="15.95" customHeight="1" x14ac:dyDescent="0.2">
      <c r="A317" s="156" t="s">
        <v>508</v>
      </c>
      <c r="B317" s="369" t="s">
        <v>509</v>
      </c>
      <c r="C317" s="370"/>
      <c r="D317" s="370"/>
      <c r="E317" s="27">
        <v>0</v>
      </c>
      <c r="F317" s="27">
        <v>159242.54999999999</v>
      </c>
      <c r="H317" s="27">
        <v>287325.58</v>
      </c>
      <c r="J317" s="27">
        <v>-128083.03</v>
      </c>
      <c r="K317" s="25">
        <f t="shared" si="5"/>
        <v>-128083.03</v>
      </c>
    </row>
    <row r="318" spans="1:11" ht="15.95" customHeight="1" x14ac:dyDescent="0.2">
      <c r="A318" s="156" t="s">
        <v>510</v>
      </c>
      <c r="B318" s="369" t="s">
        <v>511</v>
      </c>
      <c r="C318" s="370"/>
      <c r="D318" s="370"/>
      <c r="E318" s="27">
        <v>-331002</v>
      </c>
      <c r="F318" s="27">
        <v>1666604.5</v>
      </c>
      <c r="H318" s="27">
        <v>1621600</v>
      </c>
      <c r="J318" s="27">
        <v>-285997.5</v>
      </c>
      <c r="K318" s="25">
        <f t="shared" si="5"/>
        <v>45004.5</v>
      </c>
    </row>
    <row r="319" spans="1:11" ht="15.95" customHeight="1" x14ac:dyDescent="0.2">
      <c r="A319" s="156" t="s">
        <v>1499</v>
      </c>
      <c r="B319" s="369" t="s">
        <v>1500</v>
      </c>
      <c r="C319" s="370"/>
      <c r="D319" s="370"/>
      <c r="E319" s="27">
        <v>0</v>
      </c>
      <c r="F319" s="27">
        <v>35169.53</v>
      </c>
      <c r="H319" s="27">
        <v>35169.53</v>
      </c>
      <c r="J319" s="27">
        <v>0</v>
      </c>
      <c r="K319" s="25">
        <f t="shared" si="5"/>
        <v>0</v>
      </c>
    </row>
    <row r="320" spans="1:11" ht="15.95" customHeight="1" x14ac:dyDescent="0.2">
      <c r="A320" s="156" t="s">
        <v>512</v>
      </c>
      <c r="B320" s="369" t="s">
        <v>513</v>
      </c>
      <c r="C320" s="370"/>
      <c r="D320" s="370"/>
      <c r="E320" s="27">
        <v>-1606.1</v>
      </c>
      <c r="F320" s="27">
        <v>0</v>
      </c>
      <c r="H320" s="27">
        <v>0</v>
      </c>
      <c r="J320" s="27">
        <v>-1606.1</v>
      </c>
      <c r="K320" s="25">
        <f t="shared" si="5"/>
        <v>0</v>
      </c>
    </row>
    <row r="321" spans="1:11" ht="15.95" customHeight="1" x14ac:dyDescent="0.2">
      <c r="A321" s="156" t="s">
        <v>1501</v>
      </c>
      <c r="B321" s="369" t="s">
        <v>1502</v>
      </c>
      <c r="C321" s="370"/>
      <c r="D321" s="370"/>
      <c r="E321" s="27">
        <v>0</v>
      </c>
      <c r="F321" s="27">
        <v>18781.349999999999</v>
      </c>
      <c r="H321" s="27">
        <v>18781.349999999999</v>
      </c>
      <c r="J321" s="27">
        <v>0</v>
      </c>
      <c r="K321" s="25">
        <f t="shared" si="5"/>
        <v>0</v>
      </c>
    </row>
    <row r="322" spans="1:11" ht="15.95" customHeight="1" x14ac:dyDescent="0.2">
      <c r="A322" s="156" t="s">
        <v>1503</v>
      </c>
      <c r="B322" s="369" t="s">
        <v>1504</v>
      </c>
      <c r="C322" s="370"/>
      <c r="D322" s="370"/>
      <c r="E322" s="27">
        <v>-427.72</v>
      </c>
      <c r="F322" s="27">
        <v>4016.72</v>
      </c>
      <c r="H322" s="27">
        <v>3589</v>
      </c>
      <c r="J322" s="27">
        <v>0</v>
      </c>
      <c r="K322" s="25">
        <f t="shared" si="5"/>
        <v>427.72</v>
      </c>
    </row>
    <row r="323" spans="1:11" ht="15.95" customHeight="1" x14ac:dyDescent="0.2">
      <c r="A323" s="156" t="s">
        <v>1597</v>
      </c>
      <c r="B323" s="369" t="s">
        <v>1598</v>
      </c>
      <c r="C323" s="370"/>
      <c r="D323" s="370"/>
      <c r="E323" s="27">
        <v>0</v>
      </c>
      <c r="F323" s="27">
        <v>5245.2</v>
      </c>
      <c r="H323" s="27">
        <v>5245.2</v>
      </c>
      <c r="J323" s="27">
        <v>0</v>
      </c>
      <c r="K323" s="25">
        <f t="shared" si="5"/>
        <v>0</v>
      </c>
    </row>
    <row r="324" spans="1:11" ht="15.95" customHeight="1" x14ac:dyDescent="0.2">
      <c r="A324" s="156" t="s">
        <v>514</v>
      </c>
      <c r="B324" s="369" t="s">
        <v>515</v>
      </c>
      <c r="C324" s="370"/>
      <c r="D324" s="370"/>
      <c r="E324" s="27">
        <v>-66899.520000000004</v>
      </c>
      <c r="F324" s="27">
        <v>296432.98</v>
      </c>
      <c r="H324" s="27">
        <v>251833.3</v>
      </c>
      <c r="J324" s="27">
        <v>-22299.84</v>
      </c>
      <c r="K324" s="25">
        <f t="shared" si="5"/>
        <v>44599.680000000008</v>
      </c>
    </row>
    <row r="325" spans="1:11" ht="15.95" customHeight="1" x14ac:dyDescent="0.2">
      <c r="A325" s="156" t="s">
        <v>516</v>
      </c>
      <c r="B325" s="369" t="s">
        <v>517</v>
      </c>
      <c r="C325" s="370"/>
      <c r="D325" s="370"/>
      <c r="E325" s="27">
        <v>-6121.35</v>
      </c>
      <c r="F325" s="27">
        <v>0</v>
      </c>
      <c r="H325" s="27">
        <v>0</v>
      </c>
      <c r="J325" s="27">
        <v>-6121.35</v>
      </c>
      <c r="K325" s="25">
        <f t="shared" si="5"/>
        <v>0</v>
      </c>
    </row>
    <row r="326" spans="1:11" ht="15.95" customHeight="1" x14ac:dyDescent="0.2">
      <c r="A326" s="156" t="s">
        <v>518</v>
      </c>
      <c r="B326" s="369" t="s">
        <v>519</v>
      </c>
      <c r="C326" s="370"/>
      <c r="D326" s="370"/>
      <c r="E326" s="27">
        <v>-336097.33</v>
      </c>
      <c r="F326" s="27">
        <v>163174.37</v>
      </c>
      <c r="H326" s="27">
        <v>0</v>
      </c>
      <c r="J326" s="27">
        <v>-172922.96</v>
      </c>
      <c r="K326" s="25">
        <f t="shared" si="5"/>
        <v>163174.37000000002</v>
      </c>
    </row>
    <row r="327" spans="1:11" ht="15.95" customHeight="1" x14ac:dyDescent="0.2">
      <c r="A327" s="156" t="s">
        <v>1505</v>
      </c>
      <c r="B327" s="369" t="s">
        <v>1506</v>
      </c>
      <c r="C327" s="370"/>
      <c r="D327" s="370"/>
      <c r="E327" s="27">
        <v>0</v>
      </c>
      <c r="F327" s="27">
        <v>8067.19</v>
      </c>
      <c r="H327" s="27">
        <v>8067.19</v>
      </c>
      <c r="J327" s="27">
        <v>0</v>
      </c>
      <c r="K327" s="25">
        <f t="shared" si="5"/>
        <v>0</v>
      </c>
    </row>
    <row r="328" spans="1:11" ht="15.95" customHeight="1" x14ac:dyDescent="0.2">
      <c r="A328" s="156" t="s">
        <v>1507</v>
      </c>
      <c r="B328" s="369" t="s">
        <v>1508</v>
      </c>
      <c r="C328" s="370"/>
      <c r="D328" s="370"/>
      <c r="E328" s="27">
        <v>0</v>
      </c>
      <c r="F328" s="27">
        <v>5087</v>
      </c>
      <c r="H328" s="27">
        <v>5087</v>
      </c>
      <c r="J328" s="27">
        <v>0</v>
      </c>
      <c r="K328" s="25">
        <f t="shared" si="5"/>
        <v>0</v>
      </c>
    </row>
    <row r="329" spans="1:11" ht="27.95" customHeight="1" x14ac:dyDescent="0.2">
      <c r="A329" s="156" t="s">
        <v>520</v>
      </c>
      <c r="B329" s="369" t="s">
        <v>521</v>
      </c>
      <c r="C329" s="370"/>
      <c r="D329" s="370"/>
      <c r="E329" s="27">
        <v>-179657.48</v>
      </c>
      <c r="F329" s="27">
        <v>179657.48</v>
      </c>
      <c r="H329" s="27">
        <v>0</v>
      </c>
      <c r="J329" s="27">
        <v>0</v>
      </c>
      <c r="K329" s="25">
        <f t="shared" si="5"/>
        <v>179657.48</v>
      </c>
    </row>
    <row r="330" spans="1:11" ht="15.95" customHeight="1" x14ac:dyDescent="0.2">
      <c r="A330" s="156" t="s">
        <v>522</v>
      </c>
      <c r="B330" s="369" t="s">
        <v>523</v>
      </c>
      <c r="C330" s="370"/>
      <c r="D330" s="370"/>
      <c r="E330" s="27">
        <v>-5515.14</v>
      </c>
      <c r="F330" s="27">
        <v>69810.66</v>
      </c>
      <c r="H330" s="27">
        <v>73156.41</v>
      </c>
      <c r="J330" s="27">
        <v>-8860.89</v>
      </c>
      <c r="K330" s="25">
        <f t="shared" si="5"/>
        <v>-3345.7499999999991</v>
      </c>
    </row>
    <row r="331" spans="1:11" ht="15.95" customHeight="1" x14ac:dyDescent="0.2">
      <c r="A331" s="156" t="s">
        <v>524</v>
      </c>
      <c r="B331" s="369" t="s">
        <v>525</v>
      </c>
      <c r="C331" s="370"/>
      <c r="D331" s="370"/>
      <c r="E331" s="27">
        <v>0</v>
      </c>
      <c r="F331" s="27">
        <v>896287.19</v>
      </c>
      <c r="H331" s="27">
        <v>896287.19</v>
      </c>
      <c r="J331" s="27">
        <v>0</v>
      </c>
      <c r="K331" s="25">
        <f t="shared" si="5"/>
        <v>0</v>
      </c>
    </row>
    <row r="332" spans="1:11" ht="15.95" customHeight="1" x14ac:dyDescent="0.2">
      <c r="A332" s="156" t="s">
        <v>1509</v>
      </c>
      <c r="B332" s="369" t="s">
        <v>1510</v>
      </c>
      <c r="C332" s="370"/>
      <c r="D332" s="370"/>
      <c r="E332" s="27">
        <v>0</v>
      </c>
      <c r="F332" s="27">
        <v>440</v>
      </c>
      <c r="H332" s="27">
        <v>440</v>
      </c>
      <c r="J332" s="27">
        <v>0</v>
      </c>
      <c r="K332" s="25">
        <f t="shared" si="5"/>
        <v>0</v>
      </c>
    </row>
    <row r="333" spans="1:11" ht="15.95" customHeight="1" x14ac:dyDescent="0.2">
      <c r="A333" s="156" t="s">
        <v>526</v>
      </c>
      <c r="B333" s="369" t="s">
        <v>527</v>
      </c>
      <c r="C333" s="370"/>
      <c r="D333" s="370"/>
      <c r="E333" s="27">
        <v>-943.19</v>
      </c>
      <c r="F333" s="27">
        <v>1836.28</v>
      </c>
      <c r="H333" s="27">
        <v>893.09</v>
      </c>
      <c r="J333" s="27">
        <v>0</v>
      </c>
      <c r="K333" s="25">
        <f t="shared" si="5"/>
        <v>943.19</v>
      </c>
    </row>
    <row r="334" spans="1:11" ht="15.95" customHeight="1" x14ac:dyDescent="0.2">
      <c r="A334" s="156" t="s">
        <v>528</v>
      </c>
      <c r="B334" s="369" t="s">
        <v>529</v>
      </c>
      <c r="C334" s="370"/>
      <c r="D334" s="370"/>
      <c r="E334" s="27">
        <v>0</v>
      </c>
      <c r="F334" s="27">
        <v>2872</v>
      </c>
      <c r="H334" s="27">
        <v>2872</v>
      </c>
      <c r="J334" s="27">
        <v>0</v>
      </c>
      <c r="K334" s="25">
        <f t="shared" si="5"/>
        <v>0</v>
      </c>
    </row>
    <row r="335" spans="1:11" ht="15.95" customHeight="1" x14ac:dyDescent="0.2">
      <c r="A335" s="156" t="s">
        <v>530</v>
      </c>
      <c r="B335" s="369" t="s">
        <v>531</v>
      </c>
      <c r="C335" s="370"/>
      <c r="D335" s="370"/>
      <c r="E335" s="27">
        <v>-30222.15</v>
      </c>
      <c r="F335" s="27">
        <v>222741.66</v>
      </c>
      <c r="H335" s="27">
        <v>224784.31</v>
      </c>
      <c r="J335" s="27">
        <v>-32264.799999999999</v>
      </c>
      <c r="K335" s="25">
        <f t="shared" si="5"/>
        <v>-2042.6499999999978</v>
      </c>
    </row>
    <row r="336" spans="1:11" ht="15.95" customHeight="1" x14ac:dyDescent="0.2">
      <c r="A336" s="156" t="s">
        <v>1879</v>
      </c>
      <c r="B336" s="369" t="s">
        <v>1880</v>
      </c>
      <c r="C336" s="370"/>
      <c r="D336" s="370"/>
      <c r="E336" s="27">
        <v>0</v>
      </c>
      <c r="F336" s="27">
        <v>1788</v>
      </c>
      <c r="H336" s="27">
        <v>1788</v>
      </c>
      <c r="J336" s="27">
        <v>0</v>
      </c>
      <c r="K336" s="25">
        <f t="shared" si="5"/>
        <v>0</v>
      </c>
    </row>
    <row r="337" spans="1:11" ht="15.95" customHeight="1" x14ac:dyDescent="0.2">
      <c r="A337" s="156" t="s">
        <v>1511</v>
      </c>
      <c r="B337" s="369" t="s">
        <v>1512</v>
      </c>
      <c r="C337" s="370"/>
      <c r="D337" s="370"/>
      <c r="E337" s="27">
        <v>0</v>
      </c>
      <c r="F337" s="27">
        <v>46865.4</v>
      </c>
      <c r="H337" s="27">
        <v>46865.4</v>
      </c>
      <c r="J337" s="27">
        <v>0</v>
      </c>
      <c r="K337" s="25">
        <f t="shared" si="5"/>
        <v>0</v>
      </c>
    </row>
    <row r="338" spans="1:11" ht="15.95" customHeight="1" x14ac:dyDescent="0.2">
      <c r="A338" s="156" t="s">
        <v>532</v>
      </c>
      <c r="B338" s="369" t="s">
        <v>533</v>
      </c>
      <c r="C338" s="370"/>
      <c r="D338" s="370"/>
      <c r="E338" s="27">
        <v>-1886.04</v>
      </c>
      <c r="F338" s="27">
        <v>17086.48</v>
      </c>
      <c r="H338" s="27">
        <v>16620.669999999998</v>
      </c>
      <c r="J338" s="27">
        <v>-1420.23</v>
      </c>
      <c r="K338" s="25">
        <f t="shared" si="5"/>
        <v>465.80999999999995</v>
      </c>
    </row>
    <row r="339" spans="1:11" ht="15.95" customHeight="1" x14ac:dyDescent="0.2">
      <c r="A339" s="156" t="s">
        <v>534</v>
      </c>
      <c r="B339" s="369" t="s">
        <v>535</v>
      </c>
      <c r="C339" s="370"/>
      <c r="D339" s="370"/>
      <c r="E339" s="27">
        <v>0</v>
      </c>
      <c r="F339" s="27">
        <v>2275477.52</v>
      </c>
      <c r="H339" s="27">
        <v>2343592.9300000002</v>
      </c>
      <c r="J339" s="27">
        <v>-68115.41</v>
      </c>
      <c r="K339" s="25">
        <f t="shared" si="5"/>
        <v>-68115.41</v>
      </c>
    </row>
    <row r="340" spans="1:11" ht="15.95" customHeight="1" x14ac:dyDescent="0.2">
      <c r="A340" s="156" t="s">
        <v>1513</v>
      </c>
      <c r="B340" s="369" t="s">
        <v>1514</v>
      </c>
      <c r="C340" s="370"/>
      <c r="D340" s="370"/>
      <c r="E340" s="27">
        <v>0</v>
      </c>
      <c r="F340" s="27">
        <v>46114.55</v>
      </c>
      <c r="H340" s="27">
        <v>46114.55</v>
      </c>
      <c r="J340" s="27">
        <v>0</v>
      </c>
      <c r="K340" s="25">
        <f t="shared" si="5"/>
        <v>0</v>
      </c>
    </row>
    <row r="341" spans="1:11" ht="15.95" customHeight="1" x14ac:dyDescent="0.2">
      <c r="A341" s="156" t="s">
        <v>536</v>
      </c>
      <c r="B341" s="369" t="s">
        <v>537</v>
      </c>
      <c r="C341" s="370"/>
      <c r="D341" s="370"/>
      <c r="E341" s="27">
        <v>0</v>
      </c>
      <c r="F341" s="27">
        <v>115648.62</v>
      </c>
      <c r="H341" s="27">
        <v>115648.62</v>
      </c>
      <c r="J341" s="27">
        <v>0</v>
      </c>
      <c r="K341" s="25">
        <f t="shared" si="5"/>
        <v>0</v>
      </c>
    </row>
    <row r="342" spans="1:11" ht="15.95" customHeight="1" x14ac:dyDescent="0.2">
      <c r="A342" s="156" t="s">
        <v>538</v>
      </c>
      <c r="B342" s="369" t="s">
        <v>539</v>
      </c>
      <c r="C342" s="370"/>
      <c r="D342" s="370"/>
      <c r="E342" s="27">
        <v>-1235</v>
      </c>
      <c r="F342" s="27">
        <v>11635</v>
      </c>
      <c r="H342" s="27">
        <v>10400</v>
      </c>
      <c r="J342" s="27">
        <v>0</v>
      </c>
      <c r="K342" s="25">
        <f t="shared" si="5"/>
        <v>1235</v>
      </c>
    </row>
    <row r="343" spans="1:11" ht="15.95" customHeight="1" x14ac:dyDescent="0.2">
      <c r="A343" s="156" t="s">
        <v>540</v>
      </c>
      <c r="B343" s="369" t="s">
        <v>541</v>
      </c>
      <c r="C343" s="370"/>
      <c r="D343" s="370"/>
      <c r="E343" s="27">
        <v>-99496.55</v>
      </c>
      <c r="F343" s="27">
        <v>0</v>
      </c>
      <c r="H343" s="27">
        <v>0</v>
      </c>
      <c r="J343" s="27">
        <v>-99496.55</v>
      </c>
      <c r="K343" s="25">
        <f t="shared" si="5"/>
        <v>0</v>
      </c>
    </row>
    <row r="344" spans="1:11" ht="15.95" customHeight="1" x14ac:dyDescent="0.2">
      <c r="A344" s="156" t="s">
        <v>1515</v>
      </c>
      <c r="B344" s="369" t="s">
        <v>1516</v>
      </c>
      <c r="C344" s="370"/>
      <c r="D344" s="370"/>
      <c r="E344" s="27">
        <v>0</v>
      </c>
      <c r="F344" s="27">
        <v>1385796.43</v>
      </c>
      <c r="H344" s="27">
        <v>1385796.43</v>
      </c>
      <c r="J344" s="27">
        <v>0</v>
      </c>
      <c r="K344" s="25">
        <f t="shared" si="5"/>
        <v>0</v>
      </c>
    </row>
    <row r="345" spans="1:11" ht="15.95" customHeight="1" x14ac:dyDescent="0.2">
      <c r="A345" s="156" t="s">
        <v>542</v>
      </c>
      <c r="B345" s="369" t="s">
        <v>543</v>
      </c>
      <c r="C345" s="370"/>
      <c r="D345" s="370"/>
      <c r="E345" s="27">
        <v>0</v>
      </c>
      <c r="F345" s="27">
        <v>562972</v>
      </c>
      <c r="H345" s="27">
        <v>562972</v>
      </c>
      <c r="J345" s="27">
        <v>0</v>
      </c>
      <c r="K345" s="25">
        <f t="shared" si="5"/>
        <v>0</v>
      </c>
    </row>
    <row r="346" spans="1:11" ht="15.95" customHeight="1" x14ac:dyDescent="0.2">
      <c r="A346" s="156" t="s">
        <v>544</v>
      </c>
      <c r="B346" s="369" t="s">
        <v>545</v>
      </c>
      <c r="C346" s="370"/>
      <c r="D346" s="370"/>
      <c r="E346" s="27">
        <v>0</v>
      </c>
      <c r="F346" s="27">
        <v>154169.26</v>
      </c>
      <c r="H346" s="27">
        <v>154169.26</v>
      </c>
      <c r="J346" s="27">
        <v>0</v>
      </c>
      <c r="K346" s="25">
        <f t="shared" si="5"/>
        <v>0</v>
      </c>
    </row>
    <row r="347" spans="1:11" ht="15.95" customHeight="1" x14ac:dyDescent="0.2">
      <c r="A347" s="156" t="s">
        <v>546</v>
      </c>
      <c r="B347" s="369" t="s">
        <v>547</v>
      </c>
      <c r="C347" s="370"/>
      <c r="D347" s="370"/>
      <c r="E347" s="27">
        <v>0</v>
      </c>
      <c r="F347" s="27">
        <v>598141.6</v>
      </c>
      <c r="H347" s="27">
        <v>598141.6</v>
      </c>
      <c r="J347" s="27">
        <v>0</v>
      </c>
      <c r="K347" s="25">
        <f t="shared" si="5"/>
        <v>0</v>
      </c>
    </row>
    <row r="348" spans="1:11" ht="15.95" customHeight="1" x14ac:dyDescent="0.2">
      <c r="A348" s="156" t="s">
        <v>548</v>
      </c>
      <c r="B348" s="369" t="s">
        <v>549</v>
      </c>
      <c r="C348" s="370"/>
      <c r="D348" s="370"/>
      <c r="E348" s="27">
        <v>0</v>
      </c>
      <c r="F348" s="27">
        <v>90900.21</v>
      </c>
      <c r="H348" s="27">
        <v>90900.21</v>
      </c>
      <c r="J348" s="27">
        <v>0</v>
      </c>
      <c r="K348" s="25">
        <f t="shared" si="5"/>
        <v>0</v>
      </c>
    </row>
    <row r="349" spans="1:11" ht="15.95" customHeight="1" x14ac:dyDescent="0.2">
      <c r="A349" s="156" t="s">
        <v>1517</v>
      </c>
      <c r="B349" s="369" t="s">
        <v>1518</v>
      </c>
      <c r="C349" s="370"/>
      <c r="D349" s="370"/>
      <c r="E349" s="27">
        <v>5.49</v>
      </c>
      <c r="F349" s="27">
        <v>716.01</v>
      </c>
      <c r="H349" s="27">
        <v>721.5</v>
      </c>
      <c r="J349" s="27">
        <v>0</v>
      </c>
      <c r="K349" s="25">
        <f t="shared" si="5"/>
        <v>-5.49</v>
      </c>
    </row>
    <row r="350" spans="1:11" ht="15.95" customHeight="1" x14ac:dyDescent="0.2">
      <c r="A350" s="156" t="s">
        <v>1519</v>
      </c>
      <c r="B350" s="369" t="s">
        <v>1520</v>
      </c>
      <c r="C350" s="370"/>
      <c r="D350" s="370"/>
      <c r="E350" s="27">
        <v>-3931.04</v>
      </c>
      <c r="F350" s="27">
        <v>25031.919999999998</v>
      </c>
      <c r="H350" s="27">
        <v>21100.880000000001</v>
      </c>
      <c r="J350" s="27">
        <v>0</v>
      </c>
      <c r="K350" s="25">
        <f t="shared" si="5"/>
        <v>3931.04</v>
      </c>
    </row>
    <row r="351" spans="1:11" ht="15.95" customHeight="1" x14ac:dyDescent="0.2">
      <c r="A351" s="156" t="s">
        <v>550</v>
      </c>
      <c r="B351" s="369" t="s">
        <v>551</v>
      </c>
      <c r="C351" s="370"/>
      <c r="D351" s="370"/>
      <c r="E351" s="27">
        <v>0</v>
      </c>
      <c r="F351" s="27">
        <v>134926.81</v>
      </c>
      <c r="H351" s="27">
        <v>134926.81</v>
      </c>
      <c r="J351" s="27">
        <v>0</v>
      </c>
      <c r="K351" s="25">
        <f t="shared" si="5"/>
        <v>0</v>
      </c>
    </row>
    <row r="352" spans="1:11" ht="15.95" customHeight="1" x14ac:dyDescent="0.2">
      <c r="A352" s="156" t="s">
        <v>1521</v>
      </c>
      <c r="B352" s="369" t="s">
        <v>1522</v>
      </c>
      <c r="C352" s="370"/>
      <c r="D352" s="370"/>
      <c r="E352" s="27">
        <v>-1125</v>
      </c>
      <c r="F352" s="27">
        <v>10075</v>
      </c>
      <c r="H352" s="27">
        <v>8950</v>
      </c>
      <c r="J352" s="27">
        <v>0</v>
      </c>
      <c r="K352" s="25">
        <f t="shared" si="5"/>
        <v>1125</v>
      </c>
    </row>
    <row r="353" spans="1:11" ht="15.95" customHeight="1" x14ac:dyDescent="0.2">
      <c r="A353" s="156" t="s">
        <v>552</v>
      </c>
      <c r="B353" s="369" t="s">
        <v>553</v>
      </c>
      <c r="C353" s="370"/>
      <c r="D353" s="370"/>
      <c r="E353" s="27">
        <v>0</v>
      </c>
      <c r="F353" s="27">
        <v>9578.4599999999991</v>
      </c>
      <c r="H353" s="27">
        <v>10283.299999999999</v>
      </c>
      <c r="J353" s="27">
        <v>-704.84</v>
      </c>
      <c r="K353" s="25">
        <f t="shared" si="5"/>
        <v>-704.84</v>
      </c>
    </row>
    <row r="354" spans="1:11" ht="15.95" customHeight="1" x14ac:dyDescent="0.2">
      <c r="A354" s="156" t="s">
        <v>1812</v>
      </c>
      <c r="B354" s="369" t="s">
        <v>1813</v>
      </c>
      <c r="C354" s="370"/>
      <c r="D354" s="370"/>
      <c r="E354" s="27">
        <v>0</v>
      </c>
      <c r="F354" s="27">
        <v>648</v>
      </c>
      <c r="H354" s="27">
        <v>648</v>
      </c>
      <c r="J354" s="27">
        <v>0</v>
      </c>
      <c r="K354" s="25">
        <f t="shared" si="5"/>
        <v>0</v>
      </c>
    </row>
    <row r="355" spans="1:11" ht="15.95" customHeight="1" x14ac:dyDescent="0.2">
      <c r="A355" s="156" t="s">
        <v>1599</v>
      </c>
      <c r="B355" s="369" t="s">
        <v>1600</v>
      </c>
      <c r="C355" s="370"/>
      <c r="D355" s="370"/>
      <c r="E355" s="27">
        <v>-3764.2</v>
      </c>
      <c r="F355" s="27">
        <v>3764.2</v>
      </c>
      <c r="H355" s="27">
        <v>0</v>
      </c>
      <c r="J355" s="27">
        <v>0</v>
      </c>
      <c r="K355" s="25">
        <f t="shared" ref="K355:K412" si="6">J355-E355</f>
        <v>3764.2</v>
      </c>
    </row>
    <row r="356" spans="1:11" ht="15.95" customHeight="1" x14ac:dyDescent="0.2">
      <c r="A356" s="156" t="s">
        <v>1601</v>
      </c>
      <c r="B356" s="369" t="s">
        <v>1602</v>
      </c>
      <c r="C356" s="370"/>
      <c r="D356" s="370"/>
      <c r="E356" s="27">
        <v>-26400</v>
      </c>
      <c r="F356" s="27">
        <v>26400</v>
      </c>
      <c r="H356" s="27">
        <v>0</v>
      </c>
      <c r="J356" s="27">
        <v>0</v>
      </c>
      <c r="K356" s="25">
        <f t="shared" si="6"/>
        <v>26400</v>
      </c>
    </row>
    <row r="357" spans="1:11" ht="15.95" customHeight="1" x14ac:dyDescent="0.2">
      <c r="A357" s="156" t="s">
        <v>1603</v>
      </c>
      <c r="B357" s="369" t="s">
        <v>1604</v>
      </c>
      <c r="C357" s="370"/>
      <c r="D357" s="370"/>
      <c r="E357" s="27">
        <v>-7190</v>
      </c>
      <c r="F357" s="27">
        <v>7190</v>
      </c>
      <c r="H357" s="27">
        <v>0</v>
      </c>
      <c r="J357" s="27">
        <v>0</v>
      </c>
      <c r="K357" s="25">
        <f t="shared" si="6"/>
        <v>7190</v>
      </c>
    </row>
    <row r="358" spans="1:11" ht="15.95" customHeight="1" x14ac:dyDescent="0.2">
      <c r="A358" s="156" t="s">
        <v>554</v>
      </c>
      <c r="B358" s="369" t="s">
        <v>555</v>
      </c>
      <c r="C358" s="370"/>
      <c r="D358" s="370"/>
      <c r="E358" s="27">
        <v>0</v>
      </c>
      <c r="F358" s="27">
        <v>2067.11</v>
      </c>
      <c r="H358" s="27">
        <v>2067.11</v>
      </c>
      <c r="J358" s="27">
        <v>0</v>
      </c>
      <c r="K358" s="25">
        <f t="shared" si="6"/>
        <v>0</v>
      </c>
    </row>
    <row r="359" spans="1:11" ht="15.95" customHeight="1" x14ac:dyDescent="0.2">
      <c r="A359" s="156" t="s">
        <v>1881</v>
      </c>
      <c r="B359" s="369" t="s">
        <v>1882</v>
      </c>
      <c r="C359" s="370"/>
      <c r="D359" s="370"/>
      <c r="E359" s="27">
        <v>0</v>
      </c>
      <c r="F359" s="27">
        <v>998</v>
      </c>
      <c r="H359" s="27">
        <v>998</v>
      </c>
      <c r="J359" s="27">
        <v>0</v>
      </c>
      <c r="K359" s="25">
        <f t="shared" si="6"/>
        <v>0</v>
      </c>
    </row>
    <row r="360" spans="1:11" ht="15.95" customHeight="1" x14ac:dyDescent="0.2">
      <c r="A360" s="156">
        <v>2110102</v>
      </c>
      <c r="B360" s="369" t="s">
        <v>566</v>
      </c>
      <c r="C360" s="370"/>
      <c r="D360" s="370"/>
      <c r="E360" s="27">
        <v>-404681.88</v>
      </c>
      <c r="F360" s="27">
        <v>3207648.07</v>
      </c>
      <c r="H360" s="27">
        <v>2806759.35</v>
      </c>
      <c r="J360" s="27">
        <v>-3793.16</v>
      </c>
      <c r="K360" s="25">
        <f t="shared" si="6"/>
        <v>400888.72000000003</v>
      </c>
    </row>
    <row r="361" spans="1:11" ht="15.95" customHeight="1" x14ac:dyDescent="0.2">
      <c r="A361" s="156" t="s">
        <v>567</v>
      </c>
      <c r="B361" s="369" t="s">
        <v>568</v>
      </c>
      <c r="C361" s="370"/>
      <c r="D361" s="370"/>
      <c r="E361" s="27">
        <v>0</v>
      </c>
      <c r="F361" s="27">
        <v>1833</v>
      </c>
      <c r="H361" s="27">
        <v>1833</v>
      </c>
      <c r="J361" s="27">
        <v>0</v>
      </c>
      <c r="K361" s="25">
        <f t="shared" si="6"/>
        <v>0</v>
      </c>
    </row>
    <row r="362" spans="1:11" ht="15.95" customHeight="1" x14ac:dyDescent="0.2">
      <c r="A362" s="156" t="s">
        <v>569</v>
      </c>
      <c r="B362" s="369" t="s">
        <v>570</v>
      </c>
      <c r="C362" s="370"/>
      <c r="D362" s="370"/>
      <c r="E362" s="27">
        <v>0</v>
      </c>
      <c r="F362" s="27">
        <v>177737.85</v>
      </c>
      <c r="H362" s="27">
        <v>177737.85</v>
      </c>
      <c r="J362" s="27">
        <v>0</v>
      </c>
      <c r="K362" s="25">
        <f t="shared" si="6"/>
        <v>0</v>
      </c>
    </row>
    <row r="363" spans="1:11" ht="15.95" customHeight="1" x14ac:dyDescent="0.2">
      <c r="A363" s="156" t="s">
        <v>571</v>
      </c>
      <c r="B363" s="369" t="s">
        <v>572</v>
      </c>
      <c r="C363" s="370"/>
      <c r="D363" s="370"/>
      <c r="E363" s="27">
        <v>0</v>
      </c>
      <c r="F363" s="27">
        <v>17081.68</v>
      </c>
      <c r="H363" s="27">
        <v>17081.68</v>
      </c>
      <c r="J363" s="27">
        <v>0</v>
      </c>
      <c r="K363" s="25">
        <f t="shared" si="6"/>
        <v>0</v>
      </c>
    </row>
    <row r="364" spans="1:11" ht="15.95" customHeight="1" x14ac:dyDescent="0.2">
      <c r="A364" s="156" t="s">
        <v>573</v>
      </c>
      <c r="B364" s="369" t="s">
        <v>574</v>
      </c>
      <c r="C364" s="370"/>
      <c r="D364" s="370"/>
      <c r="E364" s="27">
        <v>-10044.700000000001</v>
      </c>
      <c r="F364" s="27">
        <v>96951.8</v>
      </c>
      <c r="H364" s="27">
        <v>86907.1</v>
      </c>
      <c r="J364" s="27">
        <v>0</v>
      </c>
      <c r="K364" s="25">
        <f t="shared" si="6"/>
        <v>10044.700000000001</v>
      </c>
    </row>
    <row r="365" spans="1:11" ht="15.95" customHeight="1" x14ac:dyDescent="0.2">
      <c r="A365" s="156" t="s">
        <v>575</v>
      </c>
      <c r="B365" s="369" t="s">
        <v>576</v>
      </c>
      <c r="C365" s="370"/>
      <c r="D365" s="370"/>
      <c r="E365" s="27">
        <v>-1600</v>
      </c>
      <c r="F365" s="27">
        <v>17581.3</v>
      </c>
      <c r="H365" s="27">
        <v>15981.3</v>
      </c>
      <c r="J365" s="27">
        <v>0</v>
      </c>
      <c r="K365" s="25">
        <f t="shared" si="6"/>
        <v>1600</v>
      </c>
    </row>
    <row r="366" spans="1:11" ht="15.95" customHeight="1" x14ac:dyDescent="0.2">
      <c r="A366" s="156" t="s">
        <v>1605</v>
      </c>
      <c r="B366" s="369" t="s">
        <v>1606</v>
      </c>
      <c r="C366" s="370"/>
      <c r="D366" s="370"/>
      <c r="E366" s="27">
        <v>-2277.16</v>
      </c>
      <c r="F366" s="27">
        <v>2277.16</v>
      </c>
      <c r="H366" s="27">
        <v>0</v>
      </c>
      <c r="J366" s="27">
        <v>0</v>
      </c>
      <c r="K366" s="25">
        <f t="shared" si="6"/>
        <v>2277.16</v>
      </c>
    </row>
    <row r="367" spans="1:11" ht="15.95" customHeight="1" x14ac:dyDescent="0.2">
      <c r="A367" s="156" t="s">
        <v>1523</v>
      </c>
      <c r="B367" s="369" t="s">
        <v>1524</v>
      </c>
      <c r="C367" s="370"/>
      <c r="D367" s="370"/>
      <c r="E367" s="27">
        <v>-374650.46</v>
      </c>
      <c r="F367" s="27">
        <v>374650.46</v>
      </c>
      <c r="H367" s="27">
        <v>0</v>
      </c>
      <c r="J367" s="27">
        <v>0</v>
      </c>
      <c r="K367" s="25">
        <f t="shared" si="6"/>
        <v>374650.46</v>
      </c>
    </row>
    <row r="368" spans="1:11" ht="15.95" customHeight="1" x14ac:dyDescent="0.2">
      <c r="A368" s="156" t="s">
        <v>1525</v>
      </c>
      <c r="B368" s="369" t="s">
        <v>1526</v>
      </c>
      <c r="C368" s="370"/>
      <c r="D368" s="370"/>
      <c r="E368" s="27">
        <v>0</v>
      </c>
      <c r="F368" s="27">
        <v>11629.2</v>
      </c>
      <c r="H368" s="27">
        <v>11629.2</v>
      </c>
      <c r="J368" s="27">
        <v>0</v>
      </c>
      <c r="K368" s="25">
        <f t="shared" si="6"/>
        <v>0</v>
      </c>
    </row>
    <row r="369" spans="1:11" ht="15.95" customHeight="1" x14ac:dyDescent="0.2">
      <c r="A369" s="156" t="s">
        <v>577</v>
      </c>
      <c r="B369" s="369" t="s">
        <v>578</v>
      </c>
      <c r="C369" s="370"/>
      <c r="D369" s="370"/>
      <c r="E369" s="27">
        <v>0</v>
      </c>
      <c r="F369" s="27">
        <v>20679</v>
      </c>
      <c r="H369" s="27">
        <v>20679</v>
      </c>
      <c r="J369" s="27">
        <v>0</v>
      </c>
      <c r="K369" s="25">
        <f t="shared" si="6"/>
        <v>0</v>
      </c>
    </row>
    <row r="370" spans="1:11" ht="15.95" customHeight="1" x14ac:dyDescent="0.2">
      <c r="A370" s="156" t="s">
        <v>581</v>
      </c>
      <c r="B370" s="369" t="s">
        <v>582</v>
      </c>
      <c r="C370" s="370"/>
      <c r="D370" s="370"/>
      <c r="E370" s="27">
        <v>0</v>
      </c>
      <c r="F370" s="27">
        <v>1764431.13</v>
      </c>
      <c r="H370" s="27">
        <v>1764431.13</v>
      </c>
      <c r="J370" s="27">
        <v>0</v>
      </c>
      <c r="K370" s="25">
        <f t="shared" si="6"/>
        <v>0</v>
      </c>
    </row>
    <row r="371" spans="1:11" ht="15.95" customHeight="1" x14ac:dyDescent="0.2">
      <c r="A371" s="156" t="s">
        <v>583</v>
      </c>
      <c r="B371" s="369" t="s">
        <v>584</v>
      </c>
      <c r="C371" s="370"/>
      <c r="D371" s="370"/>
      <c r="E371" s="27">
        <v>-3793.16</v>
      </c>
      <c r="F371" s="27">
        <v>0</v>
      </c>
      <c r="H371" s="27">
        <v>0</v>
      </c>
      <c r="J371" s="27">
        <v>-3793.16</v>
      </c>
      <c r="K371" s="25">
        <f t="shared" si="6"/>
        <v>0</v>
      </c>
    </row>
    <row r="372" spans="1:11" ht="15.95" customHeight="1" x14ac:dyDescent="0.2">
      <c r="A372" s="156" t="s">
        <v>585</v>
      </c>
      <c r="B372" s="369" t="s">
        <v>586</v>
      </c>
      <c r="C372" s="370"/>
      <c r="D372" s="370"/>
      <c r="E372" s="27">
        <v>0</v>
      </c>
      <c r="F372" s="27">
        <v>1477.45</v>
      </c>
      <c r="H372" s="27">
        <v>1477.45</v>
      </c>
      <c r="J372" s="27">
        <v>0</v>
      </c>
      <c r="K372" s="25">
        <f t="shared" si="6"/>
        <v>0</v>
      </c>
    </row>
    <row r="373" spans="1:11" ht="15.95" customHeight="1" x14ac:dyDescent="0.2">
      <c r="A373" s="156" t="s">
        <v>1527</v>
      </c>
      <c r="B373" s="369" t="s">
        <v>1528</v>
      </c>
      <c r="C373" s="370"/>
      <c r="D373" s="370"/>
      <c r="E373" s="27">
        <v>0</v>
      </c>
      <c r="F373" s="27">
        <v>502814.28</v>
      </c>
      <c r="H373" s="27">
        <v>502814.28</v>
      </c>
      <c r="J373" s="27">
        <v>0</v>
      </c>
      <c r="K373" s="25">
        <f t="shared" si="6"/>
        <v>0</v>
      </c>
    </row>
    <row r="374" spans="1:11" ht="15.95" customHeight="1" x14ac:dyDescent="0.2">
      <c r="A374" s="156" t="s">
        <v>1607</v>
      </c>
      <c r="B374" s="369" t="s">
        <v>1608</v>
      </c>
      <c r="C374" s="370"/>
      <c r="D374" s="370"/>
      <c r="E374" s="27">
        <v>-10126.4</v>
      </c>
      <c r="F374" s="27">
        <v>10126.4</v>
      </c>
      <c r="H374" s="27">
        <v>0</v>
      </c>
      <c r="J374" s="27">
        <v>0</v>
      </c>
      <c r="K374" s="25">
        <f t="shared" si="6"/>
        <v>10126.4</v>
      </c>
    </row>
    <row r="375" spans="1:11" ht="15.95" customHeight="1" x14ac:dyDescent="0.2">
      <c r="A375" s="156" t="s">
        <v>589</v>
      </c>
      <c r="B375" s="369" t="s">
        <v>590</v>
      </c>
      <c r="C375" s="370"/>
      <c r="D375" s="370"/>
      <c r="E375" s="27">
        <v>0</v>
      </c>
      <c r="F375" s="27">
        <v>3174</v>
      </c>
      <c r="H375" s="27">
        <v>3174</v>
      </c>
      <c r="J375" s="27">
        <v>0</v>
      </c>
      <c r="K375" s="25">
        <f t="shared" si="6"/>
        <v>0</v>
      </c>
    </row>
    <row r="376" spans="1:11" ht="15.95" customHeight="1" x14ac:dyDescent="0.2">
      <c r="A376" s="156" t="s">
        <v>1883</v>
      </c>
      <c r="B376" s="369" t="s">
        <v>1884</v>
      </c>
      <c r="C376" s="370"/>
      <c r="D376" s="370"/>
      <c r="E376" s="27">
        <v>0</v>
      </c>
      <c r="F376" s="27">
        <v>14501.44</v>
      </c>
      <c r="H376" s="27">
        <v>14501.44</v>
      </c>
      <c r="J376" s="27">
        <v>0</v>
      </c>
      <c r="K376" s="25">
        <f t="shared" si="6"/>
        <v>0</v>
      </c>
    </row>
    <row r="377" spans="1:11" ht="15.95" customHeight="1" x14ac:dyDescent="0.2">
      <c r="A377" s="156" t="s">
        <v>1529</v>
      </c>
      <c r="B377" s="369" t="s">
        <v>1530</v>
      </c>
      <c r="C377" s="370"/>
      <c r="D377" s="370"/>
      <c r="E377" s="27">
        <v>0</v>
      </c>
      <c r="F377" s="27">
        <v>14300</v>
      </c>
      <c r="H377" s="27">
        <v>14300</v>
      </c>
      <c r="J377" s="27">
        <v>0</v>
      </c>
      <c r="K377" s="25">
        <f t="shared" si="6"/>
        <v>0</v>
      </c>
    </row>
    <row r="378" spans="1:11" ht="15.95" customHeight="1" x14ac:dyDescent="0.2">
      <c r="A378" s="156" t="s">
        <v>1531</v>
      </c>
      <c r="B378" s="369" t="s">
        <v>1532</v>
      </c>
      <c r="C378" s="370"/>
      <c r="D378" s="370"/>
      <c r="E378" s="27">
        <v>0</v>
      </c>
      <c r="F378" s="27">
        <v>10582.5</v>
      </c>
      <c r="H378" s="27">
        <v>10582.5</v>
      </c>
      <c r="J378" s="27">
        <v>0</v>
      </c>
      <c r="K378" s="25">
        <f t="shared" si="6"/>
        <v>0</v>
      </c>
    </row>
    <row r="379" spans="1:11" ht="15.95" customHeight="1" x14ac:dyDescent="0.2">
      <c r="A379" s="156" t="s">
        <v>1609</v>
      </c>
      <c r="B379" s="369" t="s">
        <v>1610</v>
      </c>
      <c r="C379" s="370"/>
      <c r="D379" s="370"/>
      <c r="E379" s="27">
        <v>-2190</v>
      </c>
      <c r="F379" s="27">
        <v>2190</v>
      </c>
      <c r="H379" s="27">
        <v>0</v>
      </c>
      <c r="J379" s="27">
        <v>0</v>
      </c>
      <c r="K379" s="25">
        <f t="shared" si="6"/>
        <v>2190</v>
      </c>
    </row>
    <row r="380" spans="1:11" ht="15.95" customHeight="1" x14ac:dyDescent="0.2">
      <c r="A380" s="156" t="s">
        <v>1611</v>
      </c>
      <c r="B380" s="369" t="s">
        <v>1612</v>
      </c>
      <c r="C380" s="370"/>
      <c r="D380" s="370"/>
      <c r="E380" s="27">
        <v>0</v>
      </c>
      <c r="F380" s="27">
        <v>36000</v>
      </c>
      <c r="H380" s="27">
        <v>36000</v>
      </c>
      <c r="J380" s="27">
        <v>0</v>
      </c>
      <c r="K380" s="25">
        <f t="shared" si="6"/>
        <v>0</v>
      </c>
    </row>
    <row r="381" spans="1:11" ht="15.95" customHeight="1" x14ac:dyDescent="0.2">
      <c r="A381" s="156" t="s">
        <v>1533</v>
      </c>
      <c r="B381" s="369" t="s">
        <v>1534</v>
      </c>
      <c r="C381" s="370"/>
      <c r="D381" s="370"/>
      <c r="E381" s="27">
        <v>0</v>
      </c>
      <c r="F381" s="27">
        <v>7720</v>
      </c>
      <c r="H381" s="27">
        <v>7720</v>
      </c>
      <c r="J381" s="27">
        <v>0</v>
      </c>
      <c r="K381" s="25">
        <f t="shared" si="6"/>
        <v>0</v>
      </c>
    </row>
    <row r="382" spans="1:11" ht="15.95" customHeight="1" x14ac:dyDescent="0.2">
      <c r="A382" s="156" t="s">
        <v>1535</v>
      </c>
      <c r="B382" s="369" t="s">
        <v>1536</v>
      </c>
      <c r="C382" s="370"/>
      <c r="D382" s="370"/>
      <c r="E382" s="27">
        <v>0</v>
      </c>
      <c r="F382" s="27">
        <v>42423.81</v>
      </c>
      <c r="H382" s="27">
        <v>42423.81</v>
      </c>
      <c r="J382" s="27">
        <v>0</v>
      </c>
      <c r="K382" s="25">
        <f t="shared" si="6"/>
        <v>0</v>
      </c>
    </row>
    <row r="383" spans="1:11" ht="27.95" customHeight="1" x14ac:dyDescent="0.2">
      <c r="A383" s="156" t="s">
        <v>1537</v>
      </c>
      <c r="B383" s="369" t="s">
        <v>1538</v>
      </c>
      <c r="C383" s="370"/>
      <c r="D383" s="370"/>
      <c r="E383" s="27">
        <v>0</v>
      </c>
      <c r="F383" s="27">
        <v>70430.05</v>
      </c>
      <c r="H383" s="27">
        <v>70430.05</v>
      </c>
      <c r="J383" s="27">
        <v>0</v>
      </c>
      <c r="K383" s="25">
        <f t="shared" si="6"/>
        <v>0</v>
      </c>
    </row>
    <row r="384" spans="1:11" ht="15.95" customHeight="1" x14ac:dyDescent="0.2">
      <c r="A384" s="156" t="s">
        <v>1539</v>
      </c>
      <c r="B384" s="369" t="s">
        <v>1540</v>
      </c>
      <c r="C384" s="370"/>
      <c r="D384" s="370"/>
      <c r="E384" s="27">
        <v>0</v>
      </c>
      <c r="F384" s="27">
        <v>400</v>
      </c>
      <c r="H384" s="27">
        <v>400</v>
      </c>
      <c r="J384" s="27">
        <v>0</v>
      </c>
      <c r="K384" s="25">
        <f t="shared" si="6"/>
        <v>0</v>
      </c>
    </row>
    <row r="385" spans="1:11" ht="15.95" customHeight="1" x14ac:dyDescent="0.2">
      <c r="A385" s="156" t="s">
        <v>1541</v>
      </c>
      <c r="B385" s="369" t="s">
        <v>1542</v>
      </c>
      <c r="C385" s="370"/>
      <c r="D385" s="370"/>
      <c r="E385" s="27">
        <v>0</v>
      </c>
      <c r="F385" s="27">
        <v>4200</v>
      </c>
      <c r="H385" s="27">
        <v>4200</v>
      </c>
      <c r="J385" s="27">
        <v>0</v>
      </c>
      <c r="K385" s="25">
        <f t="shared" si="6"/>
        <v>0</v>
      </c>
    </row>
    <row r="386" spans="1:11" ht="15.95" customHeight="1" x14ac:dyDescent="0.2">
      <c r="A386" s="156" t="s">
        <v>595</v>
      </c>
      <c r="B386" s="369" t="s">
        <v>596</v>
      </c>
      <c r="C386" s="370"/>
      <c r="D386" s="370"/>
      <c r="E386" s="27">
        <v>0</v>
      </c>
      <c r="F386" s="27">
        <v>790</v>
      </c>
      <c r="H386" s="27">
        <v>790</v>
      </c>
      <c r="J386" s="27">
        <v>0</v>
      </c>
      <c r="K386" s="25">
        <f t="shared" si="6"/>
        <v>0</v>
      </c>
    </row>
    <row r="387" spans="1:11" ht="15.95" customHeight="1" x14ac:dyDescent="0.2">
      <c r="A387" s="156" t="s">
        <v>597</v>
      </c>
      <c r="B387" s="369" t="s">
        <v>598</v>
      </c>
      <c r="C387" s="370"/>
      <c r="D387" s="370"/>
      <c r="E387" s="27">
        <v>0</v>
      </c>
      <c r="F387" s="27">
        <v>1665.56</v>
      </c>
      <c r="H387" s="27">
        <v>1665.56</v>
      </c>
      <c r="J387" s="27">
        <v>0</v>
      </c>
      <c r="K387" s="25">
        <f t="shared" si="6"/>
        <v>0</v>
      </c>
    </row>
    <row r="388" spans="1:11" ht="15.95" customHeight="1" x14ac:dyDescent="0.2">
      <c r="A388" s="163">
        <v>213</v>
      </c>
      <c r="B388" s="371" t="s">
        <v>615</v>
      </c>
      <c r="C388" s="372"/>
      <c r="D388" s="372"/>
      <c r="E388" s="29">
        <v>-1982157.36</v>
      </c>
      <c r="F388" s="29">
        <v>12912602.710000001</v>
      </c>
      <c r="G388" s="164"/>
      <c r="H388" s="29">
        <v>14071701.060000001</v>
      </c>
      <c r="I388" s="164"/>
      <c r="J388" s="29">
        <v>-3141255.71</v>
      </c>
      <c r="K388" s="31">
        <f t="shared" si="6"/>
        <v>-1159098.3499999999</v>
      </c>
    </row>
    <row r="389" spans="1:11" ht="15.95" customHeight="1" x14ac:dyDescent="0.2">
      <c r="A389" s="156">
        <v>21301</v>
      </c>
      <c r="B389" s="369" t="s">
        <v>615</v>
      </c>
      <c r="C389" s="370"/>
      <c r="D389" s="370"/>
      <c r="E389" s="27">
        <v>-1982157.36</v>
      </c>
      <c r="F389" s="27">
        <v>12912602.710000001</v>
      </c>
      <c r="H389" s="27">
        <v>14071701.060000001</v>
      </c>
      <c r="J389" s="27">
        <v>-3141255.71</v>
      </c>
      <c r="K389" s="25">
        <f t="shared" si="6"/>
        <v>-1159098.3499999999</v>
      </c>
    </row>
    <row r="390" spans="1:11" ht="15.95" customHeight="1" x14ac:dyDescent="0.2">
      <c r="A390" s="156">
        <v>2130101</v>
      </c>
      <c r="B390" s="369" t="s">
        <v>615</v>
      </c>
      <c r="C390" s="370"/>
      <c r="D390" s="370"/>
      <c r="E390" s="27">
        <v>-1982157.36</v>
      </c>
      <c r="F390" s="27">
        <v>12912602.710000001</v>
      </c>
      <c r="H390" s="27">
        <v>14071701.060000001</v>
      </c>
      <c r="J390" s="27">
        <v>-3141255.71</v>
      </c>
      <c r="K390" s="25">
        <f t="shared" si="6"/>
        <v>-1159098.3499999999</v>
      </c>
    </row>
    <row r="391" spans="1:11" ht="15.95" customHeight="1" x14ac:dyDescent="0.2">
      <c r="A391" s="156" t="s">
        <v>616</v>
      </c>
      <c r="B391" s="369" t="s">
        <v>617</v>
      </c>
      <c r="C391" s="370"/>
      <c r="D391" s="370"/>
      <c r="E391" s="27">
        <v>0</v>
      </c>
      <c r="F391" s="27">
        <v>10300425.58</v>
      </c>
      <c r="H391" s="27">
        <v>11104597.34</v>
      </c>
      <c r="J391" s="27">
        <v>-804171.76</v>
      </c>
      <c r="K391" s="25">
        <f t="shared" si="6"/>
        <v>-804171.76</v>
      </c>
    </row>
    <row r="392" spans="1:11" ht="15.95" customHeight="1" x14ac:dyDescent="0.2">
      <c r="A392" s="156" t="s">
        <v>618</v>
      </c>
      <c r="B392" s="369" t="s">
        <v>619</v>
      </c>
      <c r="C392" s="370"/>
      <c r="D392" s="370"/>
      <c r="E392" s="27">
        <v>0</v>
      </c>
      <c r="F392" s="27">
        <v>1675028.17</v>
      </c>
      <c r="H392" s="27">
        <v>1675028.17</v>
      </c>
      <c r="J392" s="27">
        <v>0</v>
      </c>
      <c r="K392" s="25">
        <f t="shared" si="6"/>
        <v>0</v>
      </c>
    </row>
    <row r="393" spans="1:11" ht="15.95" customHeight="1" x14ac:dyDescent="0.2">
      <c r="A393" s="156" t="s">
        <v>620</v>
      </c>
      <c r="B393" s="369" t="s">
        <v>621</v>
      </c>
      <c r="C393" s="370"/>
      <c r="D393" s="370"/>
      <c r="E393" s="27">
        <v>0</v>
      </c>
      <c r="F393" s="27">
        <v>749198.13</v>
      </c>
      <c r="H393" s="27">
        <v>990587.65</v>
      </c>
      <c r="J393" s="27">
        <v>-241389.52</v>
      </c>
      <c r="K393" s="25">
        <f t="shared" si="6"/>
        <v>-241389.52</v>
      </c>
    </row>
    <row r="394" spans="1:11" ht="15.95" customHeight="1" x14ac:dyDescent="0.2">
      <c r="A394" s="156" t="s">
        <v>622</v>
      </c>
      <c r="B394" s="369" t="s">
        <v>623</v>
      </c>
      <c r="C394" s="370"/>
      <c r="D394" s="370"/>
      <c r="E394" s="27">
        <v>-1982157.36</v>
      </c>
      <c r="F394" s="27">
        <v>152972.45000000001</v>
      </c>
      <c r="H394" s="27">
        <v>234897.48</v>
      </c>
      <c r="J394" s="27">
        <v>-2064082.39</v>
      </c>
      <c r="K394" s="25">
        <f t="shared" si="6"/>
        <v>-81925.029999999795</v>
      </c>
    </row>
    <row r="395" spans="1:11" ht="15.95" customHeight="1" x14ac:dyDescent="0.2">
      <c r="A395" s="156" t="s">
        <v>626</v>
      </c>
      <c r="B395" s="369" t="s">
        <v>627</v>
      </c>
      <c r="C395" s="370"/>
      <c r="D395" s="370"/>
      <c r="E395" s="27">
        <v>0</v>
      </c>
      <c r="F395" s="27">
        <v>34978.379999999997</v>
      </c>
      <c r="H395" s="27">
        <v>66590.42</v>
      </c>
      <c r="J395" s="27">
        <v>-31612.04</v>
      </c>
      <c r="K395" s="25">
        <f t="shared" si="6"/>
        <v>-31612.04</v>
      </c>
    </row>
    <row r="396" spans="1:11" ht="15.95" customHeight="1" x14ac:dyDescent="0.2">
      <c r="A396" s="163">
        <v>214</v>
      </c>
      <c r="B396" s="371" t="s">
        <v>628</v>
      </c>
      <c r="C396" s="372"/>
      <c r="D396" s="372"/>
      <c r="E396" s="29">
        <v>-2360319.29</v>
      </c>
      <c r="F396" s="29">
        <v>12988653.939999999</v>
      </c>
      <c r="G396" s="164"/>
      <c r="H396" s="29">
        <v>12733573.24</v>
      </c>
      <c r="I396" s="164"/>
      <c r="J396" s="29">
        <v>-2105238.59</v>
      </c>
      <c r="K396" s="31">
        <f t="shared" si="6"/>
        <v>255080.70000000019</v>
      </c>
    </row>
    <row r="397" spans="1:11" ht="15.95" customHeight="1" x14ac:dyDescent="0.2">
      <c r="A397" s="156">
        <v>21401</v>
      </c>
      <c r="B397" s="369" t="s">
        <v>628</v>
      </c>
      <c r="C397" s="370"/>
      <c r="D397" s="370"/>
      <c r="E397" s="27">
        <v>-2360319.29</v>
      </c>
      <c r="F397" s="27">
        <v>12988653.939999999</v>
      </c>
      <c r="H397" s="27">
        <v>12733573.24</v>
      </c>
      <c r="J397" s="27">
        <v>-2105238.59</v>
      </c>
      <c r="K397" s="25">
        <f t="shared" si="6"/>
        <v>255080.70000000019</v>
      </c>
    </row>
    <row r="398" spans="1:11" ht="15.95" customHeight="1" x14ac:dyDescent="0.2">
      <c r="A398" s="156">
        <v>2140101</v>
      </c>
      <c r="B398" s="369" t="s">
        <v>628</v>
      </c>
      <c r="C398" s="370"/>
      <c r="D398" s="370"/>
      <c r="E398" s="27">
        <v>-2360319.29</v>
      </c>
      <c r="F398" s="27">
        <v>12988653.939999999</v>
      </c>
      <c r="H398" s="27">
        <v>12733573.24</v>
      </c>
      <c r="J398" s="27">
        <v>-2105238.59</v>
      </c>
      <c r="K398" s="25">
        <f t="shared" si="6"/>
        <v>255080.70000000019</v>
      </c>
    </row>
    <row r="399" spans="1:11" ht="15.95" customHeight="1" x14ac:dyDescent="0.2">
      <c r="A399" s="156" t="s">
        <v>629</v>
      </c>
      <c r="B399" s="369" t="s">
        <v>630</v>
      </c>
      <c r="C399" s="370"/>
      <c r="D399" s="370"/>
      <c r="E399" s="27">
        <v>-446315.55</v>
      </c>
      <c r="F399" s="27">
        <v>3890575.86</v>
      </c>
      <c r="H399" s="27">
        <v>3847260.93</v>
      </c>
      <c r="J399" s="27">
        <v>-403000.62</v>
      </c>
      <c r="K399" s="25">
        <f t="shared" si="6"/>
        <v>43314.929999999993</v>
      </c>
    </row>
    <row r="400" spans="1:11" ht="15.95" customHeight="1" x14ac:dyDescent="0.2">
      <c r="A400" s="156" t="s">
        <v>631</v>
      </c>
      <c r="B400" s="369" t="s">
        <v>632</v>
      </c>
      <c r="C400" s="370"/>
      <c r="D400" s="370"/>
      <c r="E400" s="27">
        <v>-166754.6</v>
      </c>
      <c r="F400" s="27">
        <v>1033144.03</v>
      </c>
      <c r="H400" s="27">
        <v>965227.39</v>
      </c>
      <c r="J400" s="27">
        <v>-98837.96</v>
      </c>
      <c r="K400" s="25">
        <f t="shared" si="6"/>
        <v>67916.639999999999</v>
      </c>
    </row>
    <row r="401" spans="1:11" ht="15.95" customHeight="1" x14ac:dyDescent="0.2">
      <c r="A401" s="156" t="s">
        <v>633</v>
      </c>
      <c r="B401" s="369" t="s">
        <v>634</v>
      </c>
      <c r="C401" s="370"/>
      <c r="D401" s="370"/>
      <c r="E401" s="27">
        <v>-629815.68000000005</v>
      </c>
      <c r="F401" s="27">
        <v>524846.4</v>
      </c>
      <c r="H401" s="27">
        <v>524846.4</v>
      </c>
      <c r="J401" s="27">
        <v>-629815.68000000005</v>
      </c>
      <c r="K401" s="25">
        <f t="shared" si="6"/>
        <v>0</v>
      </c>
    </row>
    <row r="402" spans="1:11" ht="15.95" customHeight="1" x14ac:dyDescent="0.2">
      <c r="A402" s="156" t="s">
        <v>635</v>
      </c>
      <c r="B402" s="369" t="s">
        <v>636</v>
      </c>
      <c r="C402" s="370"/>
      <c r="D402" s="370"/>
      <c r="E402" s="27">
        <v>-253295.68</v>
      </c>
      <c r="F402" s="27">
        <v>3119901.89</v>
      </c>
      <c r="H402" s="27">
        <v>3144359.54</v>
      </c>
      <c r="J402" s="27">
        <v>-277753.33</v>
      </c>
      <c r="K402" s="25">
        <f t="shared" si="6"/>
        <v>-24457.650000000023</v>
      </c>
    </row>
    <row r="403" spans="1:11" ht="15.95" customHeight="1" x14ac:dyDescent="0.2">
      <c r="A403" s="156" t="s">
        <v>637</v>
      </c>
      <c r="B403" s="369" t="s">
        <v>638</v>
      </c>
      <c r="C403" s="370"/>
      <c r="D403" s="370"/>
      <c r="E403" s="27">
        <v>-54889.86</v>
      </c>
      <c r="F403" s="27">
        <v>676500.43</v>
      </c>
      <c r="H403" s="27">
        <v>681832.76</v>
      </c>
      <c r="J403" s="27">
        <v>-60222.19</v>
      </c>
      <c r="K403" s="25">
        <f t="shared" si="6"/>
        <v>-5332.3300000000017</v>
      </c>
    </row>
    <row r="404" spans="1:11" ht="15.95" customHeight="1" x14ac:dyDescent="0.2">
      <c r="A404" s="156" t="s">
        <v>639</v>
      </c>
      <c r="B404" s="369" t="s">
        <v>640</v>
      </c>
      <c r="C404" s="370"/>
      <c r="D404" s="370"/>
      <c r="E404" s="27">
        <v>1177.45</v>
      </c>
      <c r="F404" s="27">
        <v>137811.29999999999</v>
      </c>
      <c r="H404" s="27">
        <v>137811.29999999999</v>
      </c>
      <c r="J404" s="27">
        <v>1177.45</v>
      </c>
      <c r="K404" s="25">
        <f t="shared" si="6"/>
        <v>0</v>
      </c>
    </row>
    <row r="405" spans="1:11" ht="15.95" customHeight="1" x14ac:dyDescent="0.2">
      <c r="A405" s="156" t="s">
        <v>641</v>
      </c>
      <c r="B405" s="369" t="s">
        <v>642</v>
      </c>
      <c r="C405" s="370"/>
      <c r="D405" s="370"/>
      <c r="E405" s="27">
        <v>-110437.46</v>
      </c>
      <c r="F405" s="27">
        <v>950990.66</v>
      </c>
      <c r="H405" s="27">
        <v>922854.17</v>
      </c>
      <c r="J405" s="27">
        <v>-82300.97</v>
      </c>
      <c r="K405" s="25">
        <f t="shared" si="6"/>
        <v>28136.490000000005</v>
      </c>
    </row>
    <row r="406" spans="1:11" ht="15.95" customHeight="1" x14ac:dyDescent="0.2">
      <c r="A406" s="156" t="s">
        <v>643</v>
      </c>
      <c r="B406" s="369" t="s">
        <v>644</v>
      </c>
      <c r="C406" s="370"/>
      <c r="D406" s="370"/>
      <c r="E406" s="27">
        <v>-43769.34</v>
      </c>
      <c r="F406" s="27">
        <v>348016.75</v>
      </c>
      <c r="H406" s="27">
        <v>336281.22</v>
      </c>
      <c r="J406" s="27">
        <v>-32033.81</v>
      </c>
      <c r="K406" s="25">
        <f t="shared" si="6"/>
        <v>11735.529999999995</v>
      </c>
    </row>
    <row r="407" spans="1:11" ht="15.95" customHeight="1" x14ac:dyDescent="0.2">
      <c r="A407" s="156" t="s">
        <v>645</v>
      </c>
      <c r="B407" s="369" t="s">
        <v>646</v>
      </c>
      <c r="C407" s="370"/>
      <c r="D407" s="370"/>
      <c r="E407" s="27">
        <v>-418461.37</v>
      </c>
      <c r="F407" s="27">
        <v>1398586.66</v>
      </c>
      <c r="H407" s="27">
        <v>1274924.94</v>
      </c>
      <c r="J407" s="27">
        <v>-294799.65000000002</v>
      </c>
      <c r="K407" s="25">
        <f t="shared" si="6"/>
        <v>123661.71999999997</v>
      </c>
    </row>
    <row r="408" spans="1:11" ht="15.95" customHeight="1" x14ac:dyDescent="0.2">
      <c r="A408" s="156" t="s">
        <v>647</v>
      </c>
      <c r="B408" s="369" t="s">
        <v>648</v>
      </c>
      <c r="C408" s="370"/>
      <c r="D408" s="370"/>
      <c r="E408" s="27">
        <v>-98361.91</v>
      </c>
      <c r="F408" s="27">
        <v>866336.45</v>
      </c>
      <c r="H408" s="27">
        <v>856231.08</v>
      </c>
      <c r="J408" s="27">
        <v>-88256.54</v>
      </c>
      <c r="K408" s="25">
        <f t="shared" si="6"/>
        <v>10105.37000000001</v>
      </c>
    </row>
    <row r="409" spans="1:11" ht="15.95" customHeight="1" x14ac:dyDescent="0.2">
      <c r="A409" s="156" t="s">
        <v>649</v>
      </c>
      <c r="B409" s="369" t="s">
        <v>650</v>
      </c>
      <c r="C409" s="370"/>
      <c r="D409" s="370"/>
      <c r="E409" s="27">
        <v>-83470.55</v>
      </c>
      <c r="F409" s="27">
        <v>0</v>
      </c>
      <c r="H409" s="27">
        <v>0</v>
      </c>
      <c r="J409" s="27">
        <v>-83470.55</v>
      </c>
      <c r="K409" s="25">
        <f t="shared" si="6"/>
        <v>0</v>
      </c>
    </row>
    <row r="410" spans="1:11" ht="15.95" customHeight="1" x14ac:dyDescent="0.2">
      <c r="A410" s="156" t="s">
        <v>651</v>
      </c>
      <c r="B410" s="369" t="s">
        <v>652</v>
      </c>
      <c r="C410" s="370"/>
      <c r="D410" s="370"/>
      <c r="E410" s="27">
        <v>-55924.74</v>
      </c>
      <c r="F410" s="27">
        <v>41943.51</v>
      </c>
      <c r="H410" s="27">
        <v>41943.51</v>
      </c>
      <c r="J410" s="27">
        <v>-55924.74</v>
      </c>
      <c r="K410" s="25">
        <f t="shared" si="6"/>
        <v>0</v>
      </c>
    </row>
    <row r="411" spans="1:11" ht="15.95" customHeight="1" x14ac:dyDescent="0.2">
      <c r="A411" s="163">
        <v>215</v>
      </c>
      <c r="B411" s="371" t="s">
        <v>655</v>
      </c>
      <c r="C411" s="372"/>
      <c r="D411" s="372"/>
      <c r="E411" s="29">
        <v>-506906.06</v>
      </c>
      <c r="F411" s="29">
        <v>2813265.52</v>
      </c>
      <c r="G411" s="164"/>
      <c r="H411" s="29">
        <v>2595930.21</v>
      </c>
      <c r="I411" s="164"/>
      <c r="J411" s="29">
        <v>-289570.75</v>
      </c>
      <c r="K411" s="31">
        <f t="shared" si="6"/>
        <v>217335.31</v>
      </c>
    </row>
    <row r="412" spans="1:11" ht="15.95" customHeight="1" x14ac:dyDescent="0.2">
      <c r="A412" s="156">
        <v>21501</v>
      </c>
      <c r="B412" s="369" t="s">
        <v>655</v>
      </c>
      <c r="C412" s="370"/>
      <c r="D412" s="370"/>
      <c r="E412" s="27">
        <v>-506906.06</v>
      </c>
      <c r="F412" s="27">
        <v>2813265.52</v>
      </c>
      <c r="H412" s="27">
        <v>2595930.21</v>
      </c>
      <c r="J412" s="27">
        <v>-289570.75</v>
      </c>
      <c r="K412" s="25">
        <f t="shared" si="6"/>
        <v>217335.31</v>
      </c>
    </row>
    <row r="413" spans="1:11" ht="15.95" customHeight="1" x14ac:dyDescent="0.2">
      <c r="A413" s="156">
        <v>2150101</v>
      </c>
      <c r="B413" s="369" t="s">
        <v>656</v>
      </c>
      <c r="C413" s="370"/>
      <c r="D413" s="370"/>
      <c r="E413" s="27">
        <v>-462174.06</v>
      </c>
      <c r="F413" s="27">
        <v>2369838.69</v>
      </c>
      <c r="H413" s="27">
        <v>2153817.91</v>
      </c>
      <c r="J413" s="27">
        <v>-246153.28</v>
      </c>
      <c r="K413" s="25">
        <f t="shared" ref="K413:K470" si="7">J413-E413</f>
        <v>216020.78</v>
      </c>
    </row>
    <row r="414" spans="1:11" ht="15.95" customHeight="1" x14ac:dyDescent="0.2">
      <c r="A414" s="156" t="s">
        <v>657</v>
      </c>
      <c r="B414" s="369" t="s">
        <v>658</v>
      </c>
      <c r="C414" s="370"/>
      <c r="D414" s="370"/>
      <c r="E414" s="27">
        <v>0</v>
      </c>
      <c r="F414" s="27">
        <v>960</v>
      </c>
      <c r="H414" s="27">
        <v>1080</v>
      </c>
      <c r="J414" s="27">
        <v>-120</v>
      </c>
      <c r="K414" s="25">
        <f t="shared" si="7"/>
        <v>-120</v>
      </c>
    </row>
    <row r="415" spans="1:11" ht="15.95" customHeight="1" x14ac:dyDescent="0.2">
      <c r="A415" s="156" t="s">
        <v>659</v>
      </c>
      <c r="B415" s="369" t="s">
        <v>660</v>
      </c>
      <c r="C415" s="370"/>
      <c r="D415" s="370"/>
      <c r="E415" s="27">
        <v>-453702.96</v>
      </c>
      <c r="F415" s="27">
        <v>2030170.11</v>
      </c>
      <c r="H415" s="27">
        <v>1774220.46</v>
      </c>
      <c r="J415" s="27">
        <v>-197753.31</v>
      </c>
      <c r="K415" s="25">
        <f t="shared" si="7"/>
        <v>255949.65000000002</v>
      </c>
    </row>
    <row r="416" spans="1:11" ht="15.95" customHeight="1" x14ac:dyDescent="0.2">
      <c r="A416" s="156" t="s">
        <v>661</v>
      </c>
      <c r="B416" s="369" t="s">
        <v>662</v>
      </c>
      <c r="C416" s="370"/>
      <c r="D416" s="370"/>
      <c r="E416" s="27">
        <v>-3875.02</v>
      </c>
      <c r="F416" s="27">
        <v>15357.24</v>
      </c>
      <c r="H416" s="27">
        <v>14108.82</v>
      </c>
      <c r="J416" s="27">
        <v>-2626.6</v>
      </c>
      <c r="K416" s="25">
        <f t="shared" si="7"/>
        <v>1248.42</v>
      </c>
    </row>
    <row r="417" spans="1:11" ht="15.95" customHeight="1" x14ac:dyDescent="0.2">
      <c r="A417" s="156" t="s">
        <v>663</v>
      </c>
      <c r="B417" s="369" t="s">
        <v>664</v>
      </c>
      <c r="C417" s="370"/>
      <c r="D417" s="370"/>
      <c r="E417" s="27">
        <v>0</v>
      </c>
      <c r="F417" s="27">
        <v>4283.1400000000003</v>
      </c>
      <c r="H417" s="27">
        <v>4840.75</v>
      </c>
      <c r="J417" s="27">
        <v>-557.61</v>
      </c>
      <c r="K417" s="25">
        <f t="shared" si="7"/>
        <v>-557.61</v>
      </c>
    </row>
    <row r="418" spans="1:11" ht="15.95" customHeight="1" x14ac:dyDescent="0.2">
      <c r="A418" s="156" t="s">
        <v>665</v>
      </c>
      <c r="B418" s="369" t="s">
        <v>666</v>
      </c>
      <c r="C418" s="370"/>
      <c r="D418" s="370"/>
      <c r="E418" s="27">
        <v>0</v>
      </c>
      <c r="F418" s="27">
        <v>3802.93</v>
      </c>
      <c r="H418" s="27">
        <v>4295.7299999999996</v>
      </c>
      <c r="J418" s="27">
        <v>-492.8</v>
      </c>
      <c r="K418" s="25">
        <f t="shared" si="7"/>
        <v>-492.8</v>
      </c>
    </row>
    <row r="419" spans="1:11" ht="15.95" customHeight="1" x14ac:dyDescent="0.2">
      <c r="A419" s="156" t="s">
        <v>667</v>
      </c>
      <c r="B419" s="369" t="s">
        <v>668</v>
      </c>
      <c r="C419" s="370"/>
      <c r="D419" s="370"/>
      <c r="E419" s="27">
        <v>-2448.29</v>
      </c>
      <c r="F419" s="27">
        <v>13858.74</v>
      </c>
      <c r="H419" s="27">
        <v>13616.92</v>
      </c>
      <c r="J419" s="27">
        <v>-2206.4699999999998</v>
      </c>
      <c r="K419" s="25">
        <f t="shared" si="7"/>
        <v>241.82000000000016</v>
      </c>
    </row>
    <row r="420" spans="1:11" ht="15.95" customHeight="1" x14ac:dyDescent="0.2">
      <c r="A420" s="156" t="s">
        <v>669</v>
      </c>
      <c r="B420" s="369" t="s">
        <v>670</v>
      </c>
      <c r="C420" s="370"/>
      <c r="D420" s="370"/>
      <c r="E420" s="27">
        <v>-275.76</v>
      </c>
      <c r="F420" s="27">
        <v>239521.58</v>
      </c>
      <c r="H420" s="27">
        <v>266778.64</v>
      </c>
      <c r="J420" s="27">
        <v>-27532.82</v>
      </c>
      <c r="K420" s="25">
        <f t="shared" si="7"/>
        <v>-27257.06</v>
      </c>
    </row>
    <row r="421" spans="1:11" ht="15.95" customHeight="1" x14ac:dyDescent="0.2">
      <c r="A421" s="156" t="s">
        <v>671</v>
      </c>
      <c r="B421" s="369" t="s">
        <v>672</v>
      </c>
      <c r="C421" s="370"/>
      <c r="D421" s="370"/>
      <c r="E421" s="27">
        <v>0</v>
      </c>
      <c r="F421" s="27">
        <v>47918.23</v>
      </c>
      <c r="H421" s="27">
        <v>61961.34</v>
      </c>
      <c r="J421" s="27">
        <v>-14043.11</v>
      </c>
      <c r="K421" s="25">
        <f t="shared" si="7"/>
        <v>-14043.11</v>
      </c>
    </row>
    <row r="422" spans="1:11" ht="15.95" customHeight="1" x14ac:dyDescent="0.2">
      <c r="A422" s="156" t="s">
        <v>673</v>
      </c>
      <c r="B422" s="369" t="s">
        <v>674</v>
      </c>
      <c r="C422" s="370"/>
      <c r="D422" s="370"/>
      <c r="E422" s="27">
        <v>-600</v>
      </c>
      <c r="F422" s="27">
        <v>1400</v>
      </c>
      <c r="H422" s="27">
        <v>1400</v>
      </c>
      <c r="J422" s="27">
        <v>-600</v>
      </c>
      <c r="K422" s="25">
        <f t="shared" si="7"/>
        <v>0</v>
      </c>
    </row>
    <row r="423" spans="1:11" ht="15.95" customHeight="1" x14ac:dyDescent="0.2">
      <c r="A423" s="156" t="s">
        <v>675</v>
      </c>
      <c r="B423" s="369" t="s">
        <v>676</v>
      </c>
      <c r="C423" s="370"/>
      <c r="D423" s="370"/>
      <c r="E423" s="27">
        <v>-47.2</v>
      </c>
      <c r="F423" s="27">
        <v>424.8</v>
      </c>
      <c r="H423" s="27">
        <v>424.8</v>
      </c>
      <c r="J423" s="27">
        <v>-47.2</v>
      </c>
      <c r="K423" s="25">
        <f t="shared" si="7"/>
        <v>0</v>
      </c>
    </row>
    <row r="424" spans="1:11" ht="15.95" customHeight="1" x14ac:dyDescent="0.2">
      <c r="A424" s="156" t="s">
        <v>677</v>
      </c>
      <c r="B424" s="369" t="s">
        <v>678</v>
      </c>
      <c r="C424" s="370"/>
      <c r="D424" s="370"/>
      <c r="E424" s="27">
        <v>-1224.83</v>
      </c>
      <c r="F424" s="27">
        <v>12141.92</v>
      </c>
      <c r="H424" s="27">
        <v>11090.45</v>
      </c>
      <c r="J424" s="27">
        <v>-173.36</v>
      </c>
      <c r="K424" s="25">
        <f t="shared" si="7"/>
        <v>1051.4699999999998</v>
      </c>
    </row>
    <row r="425" spans="1:11" ht="15.95" customHeight="1" x14ac:dyDescent="0.2">
      <c r="A425" s="156">
        <v>2150102</v>
      </c>
      <c r="B425" s="369" t="s">
        <v>679</v>
      </c>
      <c r="C425" s="370"/>
      <c r="D425" s="370"/>
      <c r="E425" s="27">
        <v>-44732</v>
      </c>
      <c r="F425" s="27">
        <v>443426.83</v>
      </c>
      <c r="H425" s="27">
        <v>442112.3</v>
      </c>
      <c r="J425" s="27">
        <v>-43417.47</v>
      </c>
      <c r="K425" s="25">
        <f t="shared" si="7"/>
        <v>1314.5299999999988</v>
      </c>
    </row>
    <row r="426" spans="1:11" ht="15.95" customHeight="1" x14ac:dyDescent="0.2">
      <c r="A426" s="156" t="s">
        <v>680</v>
      </c>
      <c r="B426" s="369" t="s">
        <v>681</v>
      </c>
      <c r="C426" s="370"/>
      <c r="D426" s="370"/>
      <c r="E426" s="27">
        <v>-35831</v>
      </c>
      <c r="F426" s="27">
        <v>323684.67</v>
      </c>
      <c r="H426" s="27">
        <v>320908.03999999998</v>
      </c>
      <c r="J426" s="27">
        <v>-33054.370000000003</v>
      </c>
      <c r="K426" s="25">
        <f t="shared" si="7"/>
        <v>2776.6299999999974</v>
      </c>
    </row>
    <row r="427" spans="1:11" ht="15.95" customHeight="1" x14ac:dyDescent="0.2">
      <c r="A427" s="156" t="s">
        <v>682</v>
      </c>
      <c r="B427" s="369" t="s">
        <v>683</v>
      </c>
      <c r="C427" s="370"/>
      <c r="D427" s="370"/>
      <c r="E427" s="27">
        <v>-8901</v>
      </c>
      <c r="F427" s="27">
        <v>88652.42</v>
      </c>
      <c r="H427" s="27">
        <v>86950.42</v>
      </c>
      <c r="J427" s="27">
        <v>-7199</v>
      </c>
      <c r="K427" s="25">
        <f t="shared" si="7"/>
        <v>1702</v>
      </c>
    </row>
    <row r="428" spans="1:11" ht="15.95" customHeight="1" x14ac:dyDescent="0.2">
      <c r="A428" s="156" t="s">
        <v>684</v>
      </c>
      <c r="B428" s="369" t="s">
        <v>685</v>
      </c>
      <c r="C428" s="370"/>
      <c r="D428" s="370"/>
      <c r="E428" s="27">
        <v>0</v>
      </c>
      <c r="F428" s="27">
        <v>31089.74</v>
      </c>
      <c r="H428" s="27">
        <v>34253.839999999997</v>
      </c>
      <c r="J428" s="27">
        <v>-3164.1</v>
      </c>
      <c r="K428" s="25">
        <f t="shared" si="7"/>
        <v>-3164.1</v>
      </c>
    </row>
    <row r="429" spans="1:11" ht="15.95" customHeight="1" x14ac:dyDescent="0.2">
      <c r="A429" s="163">
        <v>217</v>
      </c>
      <c r="B429" s="371" t="s">
        <v>686</v>
      </c>
      <c r="C429" s="372"/>
      <c r="D429" s="372"/>
      <c r="E429" s="29">
        <v>-4679363.9000000004</v>
      </c>
      <c r="F429" s="29">
        <v>1846874.81</v>
      </c>
      <c r="G429" s="164"/>
      <c r="H429" s="29">
        <v>1266678.54</v>
      </c>
      <c r="I429" s="164"/>
      <c r="J429" s="29">
        <v>-4099167.63</v>
      </c>
      <c r="K429" s="31">
        <f t="shared" si="7"/>
        <v>580196.27000000048</v>
      </c>
    </row>
    <row r="430" spans="1:11" ht="15.95" customHeight="1" x14ac:dyDescent="0.2">
      <c r="A430" s="156">
        <v>21701</v>
      </c>
      <c r="B430" s="369" t="s">
        <v>686</v>
      </c>
      <c r="C430" s="370"/>
      <c r="D430" s="370"/>
      <c r="E430" s="27">
        <v>-4679363.9000000004</v>
      </c>
      <c r="F430" s="27">
        <v>1846874.81</v>
      </c>
      <c r="H430" s="27">
        <v>1266678.54</v>
      </c>
      <c r="J430" s="27">
        <v>-4099167.63</v>
      </c>
      <c r="K430" s="25">
        <f t="shared" si="7"/>
        <v>580196.27000000048</v>
      </c>
    </row>
    <row r="431" spans="1:11" ht="15.95" customHeight="1" x14ac:dyDescent="0.2">
      <c r="A431" s="156">
        <v>2170101</v>
      </c>
      <c r="B431" s="369" t="s">
        <v>687</v>
      </c>
      <c r="C431" s="370"/>
      <c r="D431" s="370"/>
      <c r="E431" s="27">
        <v>-23810.44</v>
      </c>
      <c r="F431" s="27">
        <v>16062</v>
      </c>
      <c r="H431" s="27">
        <v>16062</v>
      </c>
      <c r="J431" s="27">
        <v>-23810.44</v>
      </c>
      <c r="K431" s="25">
        <f t="shared" si="7"/>
        <v>0</v>
      </c>
    </row>
    <row r="432" spans="1:11" ht="15.95" customHeight="1" x14ac:dyDescent="0.2">
      <c r="A432" s="156" t="s">
        <v>688</v>
      </c>
      <c r="B432" s="369" t="s">
        <v>689</v>
      </c>
      <c r="C432" s="370"/>
      <c r="D432" s="370"/>
      <c r="E432" s="27">
        <v>-6700</v>
      </c>
      <c r="F432" s="27">
        <v>0</v>
      </c>
      <c r="H432" s="27">
        <v>0</v>
      </c>
      <c r="J432" s="27">
        <v>-6700</v>
      </c>
      <c r="K432" s="25">
        <f t="shared" si="7"/>
        <v>0</v>
      </c>
    </row>
    <row r="433" spans="1:11" ht="15.95" customHeight="1" x14ac:dyDescent="0.2">
      <c r="A433" s="156" t="s">
        <v>690</v>
      </c>
      <c r="B433" s="369" t="s">
        <v>691</v>
      </c>
      <c r="C433" s="370"/>
      <c r="D433" s="370"/>
      <c r="E433" s="27">
        <v>-3115</v>
      </c>
      <c r="F433" s="27">
        <v>0</v>
      </c>
      <c r="H433" s="27">
        <v>0</v>
      </c>
      <c r="J433" s="27">
        <v>-3115</v>
      </c>
      <c r="K433" s="25">
        <f t="shared" si="7"/>
        <v>0</v>
      </c>
    </row>
    <row r="434" spans="1:11" ht="15.95" customHeight="1" x14ac:dyDescent="0.2">
      <c r="A434" s="156" t="s">
        <v>692</v>
      </c>
      <c r="B434" s="369" t="s">
        <v>693</v>
      </c>
      <c r="C434" s="370"/>
      <c r="D434" s="370"/>
      <c r="E434" s="27">
        <v>-2856</v>
      </c>
      <c r="F434" s="27">
        <v>0</v>
      </c>
      <c r="H434" s="27">
        <v>0</v>
      </c>
      <c r="J434" s="27">
        <v>-2856</v>
      </c>
      <c r="K434" s="25">
        <f t="shared" si="7"/>
        <v>0</v>
      </c>
    </row>
    <row r="435" spans="1:11" ht="15.95" customHeight="1" x14ac:dyDescent="0.2">
      <c r="A435" s="156" t="s">
        <v>694</v>
      </c>
      <c r="B435" s="369" t="s">
        <v>695</v>
      </c>
      <c r="C435" s="370"/>
      <c r="D435" s="370"/>
      <c r="E435" s="27">
        <v>-2000</v>
      </c>
      <c r="F435" s="27">
        <v>0</v>
      </c>
      <c r="H435" s="27">
        <v>0</v>
      </c>
      <c r="J435" s="27">
        <v>-2000</v>
      </c>
      <c r="K435" s="25">
        <f t="shared" si="7"/>
        <v>0</v>
      </c>
    </row>
    <row r="436" spans="1:11" ht="15.95" customHeight="1" x14ac:dyDescent="0.2">
      <c r="A436" s="156" t="s">
        <v>696</v>
      </c>
      <c r="B436" s="369" t="s">
        <v>697</v>
      </c>
      <c r="C436" s="370"/>
      <c r="D436" s="370"/>
      <c r="E436" s="27">
        <v>-5899.2</v>
      </c>
      <c r="F436" s="27">
        <v>0</v>
      </c>
      <c r="H436" s="27">
        <v>0</v>
      </c>
      <c r="J436" s="27">
        <v>-5899.2</v>
      </c>
      <c r="K436" s="25">
        <f t="shared" si="7"/>
        <v>0</v>
      </c>
    </row>
    <row r="437" spans="1:11" ht="27.95" customHeight="1" x14ac:dyDescent="0.2">
      <c r="A437" s="156" t="s">
        <v>698</v>
      </c>
      <c r="B437" s="369" t="s">
        <v>699</v>
      </c>
      <c r="C437" s="370"/>
      <c r="D437" s="370"/>
      <c r="E437" s="27">
        <v>-840.24</v>
      </c>
      <c r="F437" s="27">
        <v>0</v>
      </c>
      <c r="H437" s="27">
        <v>0</v>
      </c>
      <c r="J437" s="27">
        <v>-840.24</v>
      </c>
      <c r="K437" s="25">
        <f t="shared" si="7"/>
        <v>0</v>
      </c>
    </row>
    <row r="438" spans="1:11" ht="15.95" customHeight="1" x14ac:dyDescent="0.2">
      <c r="A438" s="156" t="s">
        <v>700</v>
      </c>
      <c r="B438" s="369" t="s">
        <v>701</v>
      </c>
      <c r="C438" s="370"/>
      <c r="D438" s="370"/>
      <c r="E438" s="27">
        <v>-2400</v>
      </c>
      <c r="F438" s="27">
        <v>16062</v>
      </c>
      <c r="H438" s="27">
        <v>16062</v>
      </c>
      <c r="J438" s="27">
        <v>-2400</v>
      </c>
      <c r="K438" s="25">
        <f t="shared" si="7"/>
        <v>0</v>
      </c>
    </row>
    <row r="439" spans="1:11" ht="15.95" customHeight="1" x14ac:dyDescent="0.2">
      <c r="A439" s="156">
        <v>2170102</v>
      </c>
      <c r="B439" s="369" t="s">
        <v>710</v>
      </c>
      <c r="C439" s="370"/>
      <c r="D439" s="370"/>
      <c r="E439" s="27">
        <v>-1870407.09</v>
      </c>
      <c r="F439" s="27">
        <v>1823653.69</v>
      </c>
      <c r="H439" s="27">
        <v>1241653.67</v>
      </c>
      <c r="J439" s="27">
        <v>-1288407.07</v>
      </c>
      <c r="K439" s="25">
        <f t="shared" si="7"/>
        <v>582000.02</v>
      </c>
    </row>
    <row r="440" spans="1:11" ht="15.95" customHeight="1" x14ac:dyDescent="0.2">
      <c r="A440" s="156" t="s">
        <v>711</v>
      </c>
      <c r="B440" s="369" t="s">
        <v>712</v>
      </c>
      <c r="C440" s="370"/>
      <c r="D440" s="370"/>
      <c r="E440" s="27">
        <v>-482690.42</v>
      </c>
      <c r="F440" s="27">
        <v>0</v>
      </c>
      <c r="H440" s="27">
        <v>0</v>
      </c>
      <c r="J440" s="27">
        <v>-482690.42</v>
      </c>
      <c r="K440" s="25">
        <f t="shared" si="7"/>
        <v>0</v>
      </c>
    </row>
    <row r="441" spans="1:11" ht="15.95" customHeight="1" x14ac:dyDescent="0.2">
      <c r="A441" s="156" t="s">
        <v>713</v>
      </c>
      <c r="B441" s="369" t="s">
        <v>714</v>
      </c>
      <c r="C441" s="370"/>
      <c r="D441" s="370"/>
      <c r="E441" s="27">
        <v>-34.72</v>
      </c>
      <c r="F441" s="27">
        <v>0</v>
      </c>
      <c r="H441" s="27">
        <v>0</v>
      </c>
      <c r="J441" s="27">
        <v>-34.72</v>
      </c>
      <c r="K441" s="25">
        <f t="shared" si="7"/>
        <v>0</v>
      </c>
    </row>
    <row r="442" spans="1:11" ht="15.95" customHeight="1" x14ac:dyDescent="0.2">
      <c r="A442" s="156" t="s">
        <v>715</v>
      </c>
      <c r="B442" s="369" t="s">
        <v>716</v>
      </c>
      <c r="C442" s="370"/>
      <c r="D442" s="370"/>
      <c r="E442" s="27">
        <v>-1469</v>
      </c>
      <c r="F442" s="27">
        <v>0</v>
      </c>
      <c r="H442" s="27">
        <v>10249.89</v>
      </c>
      <c r="J442" s="27">
        <v>-11718.89</v>
      </c>
      <c r="K442" s="25">
        <f t="shared" si="7"/>
        <v>-10249.89</v>
      </c>
    </row>
    <row r="443" spans="1:11" ht="15.95" customHeight="1" x14ac:dyDescent="0.2">
      <c r="A443" s="156" t="s">
        <v>717</v>
      </c>
      <c r="B443" s="369" t="s">
        <v>718</v>
      </c>
      <c r="C443" s="370"/>
      <c r="D443" s="370"/>
      <c r="E443" s="27">
        <v>-229.87</v>
      </c>
      <c r="F443" s="27">
        <v>0</v>
      </c>
      <c r="H443" s="27">
        <v>0</v>
      </c>
      <c r="J443" s="27">
        <v>-229.87</v>
      </c>
      <c r="K443" s="25">
        <f t="shared" si="7"/>
        <v>0</v>
      </c>
    </row>
    <row r="444" spans="1:11" ht="15.95" customHeight="1" x14ac:dyDescent="0.2">
      <c r="A444" s="156" t="s">
        <v>719</v>
      </c>
      <c r="B444" s="369" t="s">
        <v>720</v>
      </c>
      <c r="C444" s="370"/>
      <c r="D444" s="370"/>
      <c r="E444" s="27">
        <v>-3084.5</v>
      </c>
      <c r="F444" s="27">
        <v>0</v>
      </c>
      <c r="H444" s="27">
        <v>0</v>
      </c>
      <c r="J444" s="27">
        <v>-3084.5</v>
      </c>
      <c r="K444" s="25">
        <f t="shared" si="7"/>
        <v>0</v>
      </c>
    </row>
    <row r="445" spans="1:11" ht="15.95" customHeight="1" x14ac:dyDescent="0.2">
      <c r="A445" s="156" t="s">
        <v>721</v>
      </c>
      <c r="B445" s="369" t="s">
        <v>722</v>
      </c>
      <c r="C445" s="370"/>
      <c r="D445" s="370"/>
      <c r="E445" s="27">
        <v>-105.52</v>
      </c>
      <c r="F445" s="27">
        <v>0</v>
      </c>
      <c r="H445" s="27">
        <v>0</v>
      </c>
      <c r="J445" s="27">
        <v>-105.52</v>
      </c>
      <c r="K445" s="25">
        <f t="shared" si="7"/>
        <v>0</v>
      </c>
    </row>
    <row r="446" spans="1:11" ht="15.95" customHeight="1" x14ac:dyDescent="0.2">
      <c r="A446" s="156" t="s">
        <v>723</v>
      </c>
      <c r="B446" s="369" t="s">
        <v>724</v>
      </c>
      <c r="C446" s="370"/>
      <c r="D446" s="370"/>
      <c r="E446" s="27">
        <v>-300000</v>
      </c>
      <c r="F446" s="27">
        <v>364837.23</v>
      </c>
      <c r="H446" s="27">
        <v>64837.23</v>
      </c>
      <c r="J446" s="27">
        <v>0</v>
      </c>
      <c r="K446" s="25">
        <f t="shared" si="7"/>
        <v>300000</v>
      </c>
    </row>
    <row r="447" spans="1:11" ht="15.95" customHeight="1" x14ac:dyDescent="0.2">
      <c r="A447" s="156" t="s">
        <v>725</v>
      </c>
      <c r="B447" s="369" t="s">
        <v>726</v>
      </c>
      <c r="C447" s="370"/>
      <c r="D447" s="370"/>
      <c r="E447" s="27">
        <v>-196.05</v>
      </c>
      <c r="F447" s="27">
        <v>0</v>
      </c>
      <c r="H447" s="27">
        <v>0</v>
      </c>
      <c r="J447" s="27">
        <v>-196.05</v>
      </c>
      <c r="K447" s="25">
        <f t="shared" si="7"/>
        <v>0</v>
      </c>
    </row>
    <row r="448" spans="1:11" ht="15.95" customHeight="1" x14ac:dyDescent="0.2">
      <c r="A448" s="156" t="s">
        <v>727</v>
      </c>
      <c r="B448" s="369" t="s">
        <v>728</v>
      </c>
      <c r="C448" s="370"/>
      <c r="D448" s="370"/>
      <c r="E448" s="27">
        <v>-304.98</v>
      </c>
      <c r="F448" s="27">
        <v>0</v>
      </c>
      <c r="H448" s="27">
        <v>0</v>
      </c>
      <c r="J448" s="27">
        <v>-304.98</v>
      </c>
      <c r="K448" s="25">
        <f t="shared" si="7"/>
        <v>0</v>
      </c>
    </row>
    <row r="449" spans="1:11" ht="15.95" customHeight="1" x14ac:dyDescent="0.2">
      <c r="A449" s="156" t="s">
        <v>729</v>
      </c>
      <c r="B449" s="369" t="s">
        <v>730</v>
      </c>
      <c r="C449" s="370"/>
      <c r="D449" s="370"/>
      <c r="E449" s="27">
        <v>-6</v>
      </c>
      <c r="F449" s="27">
        <v>0</v>
      </c>
      <c r="H449" s="27">
        <v>0</v>
      </c>
      <c r="J449" s="27">
        <v>-6</v>
      </c>
      <c r="K449" s="25">
        <f t="shared" si="7"/>
        <v>0</v>
      </c>
    </row>
    <row r="450" spans="1:11" ht="15.95" customHeight="1" x14ac:dyDescent="0.2">
      <c r="A450" s="156" t="s">
        <v>731</v>
      </c>
      <c r="B450" s="369" t="s">
        <v>732</v>
      </c>
      <c r="C450" s="370"/>
      <c r="D450" s="370"/>
      <c r="E450" s="27">
        <v>-203708.46</v>
      </c>
      <c r="F450" s="27">
        <v>304193.13</v>
      </c>
      <c r="H450" s="27">
        <v>101397.11</v>
      </c>
      <c r="J450" s="27">
        <v>-912.44</v>
      </c>
      <c r="K450" s="25">
        <f t="shared" si="7"/>
        <v>202796.02</v>
      </c>
    </row>
    <row r="451" spans="1:11" ht="15.95" customHeight="1" x14ac:dyDescent="0.2">
      <c r="A451" s="156" t="s">
        <v>733</v>
      </c>
      <c r="B451" s="369" t="s">
        <v>734</v>
      </c>
      <c r="C451" s="370"/>
      <c r="D451" s="370"/>
      <c r="E451" s="27">
        <v>0</v>
      </c>
      <c r="F451" s="27">
        <v>3984.3</v>
      </c>
      <c r="H451" s="27">
        <v>4676.55</v>
      </c>
      <c r="J451" s="27">
        <v>-692.25</v>
      </c>
      <c r="K451" s="25">
        <f t="shared" si="7"/>
        <v>-692.25</v>
      </c>
    </row>
    <row r="452" spans="1:11" ht="15.95" customHeight="1" x14ac:dyDescent="0.2">
      <c r="A452" s="156" t="s">
        <v>735</v>
      </c>
      <c r="B452" s="369" t="s">
        <v>736</v>
      </c>
      <c r="C452" s="370"/>
      <c r="D452" s="370"/>
      <c r="E452" s="27">
        <v>-76.84</v>
      </c>
      <c r="F452" s="27">
        <v>0</v>
      </c>
      <c r="H452" s="27">
        <v>0</v>
      </c>
      <c r="J452" s="27">
        <v>-76.84</v>
      </c>
      <c r="K452" s="25">
        <f t="shared" si="7"/>
        <v>0</v>
      </c>
    </row>
    <row r="453" spans="1:11" ht="15.95" customHeight="1" x14ac:dyDescent="0.2">
      <c r="A453" s="156" t="s">
        <v>737</v>
      </c>
      <c r="B453" s="369" t="s">
        <v>738</v>
      </c>
      <c r="C453" s="370"/>
      <c r="D453" s="370"/>
      <c r="E453" s="27">
        <v>-144.33000000000001</v>
      </c>
      <c r="F453" s="27">
        <v>0</v>
      </c>
      <c r="H453" s="27">
        <v>0</v>
      </c>
      <c r="J453" s="27">
        <v>-144.33000000000001</v>
      </c>
      <c r="K453" s="25">
        <f t="shared" si="7"/>
        <v>0</v>
      </c>
    </row>
    <row r="454" spans="1:11" ht="15.95" customHeight="1" x14ac:dyDescent="0.2">
      <c r="A454" s="156" t="s">
        <v>739</v>
      </c>
      <c r="B454" s="369" t="s">
        <v>740</v>
      </c>
      <c r="C454" s="370"/>
      <c r="D454" s="370"/>
      <c r="E454" s="27">
        <v>-175.2</v>
      </c>
      <c r="F454" s="27">
        <v>0</v>
      </c>
      <c r="H454" s="27">
        <v>0</v>
      </c>
      <c r="J454" s="27">
        <v>-175.2</v>
      </c>
      <c r="K454" s="25">
        <f t="shared" si="7"/>
        <v>0</v>
      </c>
    </row>
    <row r="455" spans="1:11" ht="15.95" customHeight="1" x14ac:dyDescent="0.2">
      <c r="A455" s="156" t="s">
        <v>741</v>
      </c>
      <c r="B455" s="369" t="s">
        <v>742</v>
      </c>
      <c r="C455" s="370"/>
      <c r="D455" s="370"/>
      <c r="E455" s="27">
        <v>-436.29</v>
      </c>
      <c r="F455" s="27">
        <v>0</v>
      </c>
      <c r="H455" s="27">
        <v>0</v>
      </c>
      <c r="J455" s="27">
        <v>-436.29</v>
      </c>
      <c r="K455" s="25">
        <f t="shared" si="7"/>
        <v>0</v>
      </c>
    </row>
    <row r="456" spans="1:11" ht="15.95" customHeight="1" x14ac:dyDescent="0.2">
      <c r="A456" s="156" t="s">
        <v>743</v>
      </c>
      <c r="B456" s="369" t="s">
        <v>744</v>
      </c>
      <c r="C456" s="370"/>
      <c r="D456" s="370"/>
      <c r="E456" s="27">
        <v>-67.010000000000005</v>
      </c>
      <c r="F456" s="27">
        <v>0</v>
      </c>
      <c r="H456" s="27">
        <v>0</v>
      </c>
      <c r="J456" s="27">
        <v>-67.010000000000005</v>
      </c>
      <c r="K456" s="25">
        <f t="shared" si="7"/>
        <v>0</v>
      </c>
    </row>
    <row r="457" spans="1:11" ht="15.95" customHeight="1" x14ac:dyDescent="0.2">
      <c r="A457" s="156" t="s">
        <v>745</v>
      </c>
      <c r="B457" s="369" t="s">
        <v>746</v>
      </c>
      <c r="C457" s="370"/>
      <c r="D457" s="370"/>
      <c r="E457" s="27">
        <v>-4644.84</v>
      </c>
      <c r="F457" s="27">
        <v>0</v>
      </c>
      <c r="H457" s="27">
        <v>0</v>
      </c>
      <c r="J457" s="27">
        <v>-4644.84</v>
      </c>
      <c r="K457" s="25">
        <f t="shared" si="7"/>
        <v>0</v>
      </c>
    </row>
    <row r="458" spans="1:11" ht="15.95" customHeight="1" x14ac:dyDescent="0.2">
      <c r="A458" s="156" t="s">
        <v>747</v>
      </c>
      <c r="B458" s="369" t="s">
        <v>748</v>
      </c>
      <c r="C458" s="370"/>
      <c r="D458" s="370"/>
      <c r="E458" s="27">
        <v>-423.16</v>
      </c>
      <c r="F458" s="27">
        <v>0</v>
      </c>
      <c r="H458" s="27">
        <v>0</v>
      </c>
      <c r="J458" s="27">
        <v>-423.16</v>
      </c>
      <c r="K458" s="25">
        <f t="shared" si="7"/>
        <v>0</v>
      </c>
    </row>
    <row r="459" spans="1:11" ht="15.95" customHeight="1" x14ac:dyDescent="0.2">
      <c r="A459" s="156" t="s">
        <v>749</v>
      </c>
      <c r="B459" s="369" t="s">
        <v>750</v>
      </c>
      <c r="C459" s="370"/>
      <c r="D459" s="370"/>
      <c r="E459" s="27">
        <v>-904.46</v>
      </c>
      <c r="F459" s="27">
        <v>0</v>
      </c>
      <c r="H459" s="27">
        <v>0</v>
      </c>
      <c r="J459" s="27">
        <v>-904.46</v>
      </c>
      <c r="K459" s="25">
        <f t="shared" si="7"/>
        <v>0</v>
      </c>
    </row>
    <row r="460" spans="1:11" ht="15.95" customHeight="1" x14ac:dyDescent="0.2">
      <c r="A460" s="156" t="s">
        <v>751</v>
      </c>
      <c r="B460" s="369" t="s">
        <v>752</v>
      </c>
      <c r="C460" s="370"/>
      <c r="D460" s="370"/>
      <c r="E460" s="27">
        <v>-76.56</v>
      </c>
      <c r="F460" s="27">
        <v>0</v>
      </c>
      <c r="H460" s="27">
        <v>0</v>
      </c>
      <c r="J460" s="27">
        <v>-76.56</v>
      </c>
      <c r="K460" s="25">
        <f t="shared" si="7"/>
        <v>0</v>
      </c>
    </row>
    <row r="461" spans="1:11" ht="15.95" customHeight="1" x14ac:dyDescent="0.2">
      <c r="A461" s="156" t="s">
        <v>753</v>
      </c>
      <c r="B461" s="369" t="s">
        <v>754</v>
      </c>
      <c r="C461" s="370"/>
      <c r="D461" s="370"/>
      <c r="E461" s="27">
        <v>-2843.92</v>
      </c>
      <c r="F461" s="27">
        <v>0</v>
      </c>
      <c r="H461" s="27">
        <v>0</v>
      </c>
      <c r="J461" s="27">
        <v>-2843.92</v>
      </c>
      <c r="K461" s="25">
        <f t="shared" si="7"/>
        <v>0</v>
      </c>
    </row>
    <row r="462" spans="1:11" ht="15.95" customHeight="1" x14ac:dyDescent="0.2">
      <c r="A462" s="156" t="s">
        <v>755</v>
      </c>
      <c r="B462" s="369" t="s">
        <v>756</v>
      </c>
      <c r="C462" s="370"/>
      <c r="D462" s="370"/>
      <c r="E462" s="27">
        <v>-274.92</v>
      </c>
      <c r="F462" s="27">
        <v>0</v>
      </c>
      <c r="H462" s="27">
        <v>0</v>
      </c>
      <c r="J462" s="27">
        <v>-274.92</v>
      </c>
      <c r="K462" s="25">
        <f t="shared" si="7"/>
        <v>0</v>
      </c>
    </row>
    <row r="463" spans="1:11" ht="15.95" customHeight="1" x14ac:dyDescent="0.2">
      <c r="A463" s="156" t="s">
        <v>757</v>
      </c>
      <c r="B463" s="369" t="s">
        <v>758</v>
      </c>
      <c r="C463" s="370"/>
      <c r="D463" s="370"/>
      <c r="E463" s="27">
        <v>-247</v>
      </c>
      <c r="F463" s="27">
        <v>0</v>
      </c>
      <c r="H463" s="27">
        <v>0</v>
      </c>
      <c r="J463" s="27">
        <v>-247</v>
      </c>
      <c r="K463" s="25">
        <f t="shared" si="7"/>
        <v>0</v>
      </c>
    </row>
    <row r="464" spans="1:11" ht="15.95" customHeight="1" x14ac:dyDescent="0.2">
      <c r="A464" s="156" t="s">
        <v>759</v>
      </c>
      <c r="B464" s="369" t="s">
        <v>760</v>
      </c>
      <c r="C464" s="370"/>
      <c r="D464" s="370"/>
      <c r="E464" s="27">
        <v>-22698.47</v>
      </c>
      <c r="F464" s="27">
        <v>0</v>
      </c>
      <c r="H464" s="27">
        <v>0</v>
      </c>
      <c r="J464" s="27">
        <v>-22698.47</v>
      </c>
      <c r="K464" s="25">
        <f t="shared" si="7"/>
        <v>0</v>
      </c>
    </row>
    <row r="465" spans="1:11" ht="15.95" customHeight="1" x14ac:dyDescent="0.2">
      <c r="A465" s="156" t="s">
        <v>761</v>
      </c>
      <c r="B465" s="369" t="s">
        <v>762</v>
      </c>
      <c r="C465" s="370"/>
      <c r="D465" s="370"/>
      <c r="E465" s="27">
        <v>-338.57</v>
      </c>
      <c r="F465" s="27">
        <v>0</v>
      </c>
      <c r="H465" s="27">
        <v>0</v>
      </c>
      <c r="J465" s="27">
        <v>-338.57</v>
      </c>
      <c r="K465" s="25">
        <f t="shared" si="7"/>
        <v>0</v>
      </c>
    </row>
    <row r="466" spans="1:11" ht="15.95" customHeight="1" x14ac:dyDescent="0.2">
      <c r="A466" s="156" t="s">
        <v>763</v>
      </c>
      <c r="B466" s="369" t="s">
        <v>764</v>
      </c>
      <c r="C466" s="370"/>
      <c r="D466" s="370"/>
      <c r="E466" s="27">
        <v>-111.7</v>
      </c>
      <c r="F466" s="27">
        <v>0</v>
      </c>
      <c r="H466" s="27">
        <v>0</v>
      </c>
      <c r="J466" s="27">
        <v>-111.7</v>
      </c>
      <c r="K466" s="25">
        <f t="shared" si="7"/>
        <v>0</v>
      </c>
    </row>
    <row r="467" spans="1:11" ht="15.95" customHeight="1" x14ac:dyDescent="0.2">
      <c r="A467" s="156" t="s">
        <v>765</v>
      </c>
      <c r="B467" s="369" t="s">
        <v>766</v>
      </c>
      <c r="C467" s="370"/>
      <c r="D467" s="370"/>
      <c r="E467" s="27">
        <v>-3215.85</v>
      </c>
      <c r="F467" s="27">
        <v>0</v>
      </c>
      <c r="H467" s="27">
        <v>0</v>
      </c>
      <c r="J467" s="27">
        <v>-3215.85</v>
      </c>
      <c r="K467" s="25">
        <f t="shared" si="7"/>
        <v>0</v>
      </c>
    </row>
    <row r="468" spans="1:11" ht="15.95" customHeight="1" x14ac:dyDescent="0.2">
      <c r="A468" s="156" t="s">
        <v>767</v>
      </c>
      <c r="B468" s="369" t="s">
        <v>768</v>
      </c>
      <c r="C468" s="370"/>
      <c r="D468" s="370"/>
      <c r="E468" s="27">
        <v>-861.9</v>
      </c>
      <c r="F468" s="27">
        <v>0</v>
      </c>
      <c r="H468" s="27">
        <v>0</v>
      </c>
      <c r="J468" s="27">
        <v>-861.9</v>
      </c>
      <c r="K468" s="25">
        <f t="shared" si="7"/>
        <v>0</v>
      </c>
    </row>
    <row r="469" spans="1:11" ht="15.95" customHeight="1" x14ac:dyDescent="0.2">
      <c r="A469" s="156" t="s">
        <v>769</v>
      </c>
      <c r="B469" s="369" t="s">
        <v>770</v>
      </c>
      <c r="C469" s="370"/>
      <c r="D469" s="370"/>
      <c r="E469" s="27">
        <v>-2028.49</v>
      </c>
      <c r="F469" s="27">
        <v>0</v>
      </c>
      <c r="H469" s="27">
        <v>0</v>
      </c>
      <c r="J469" s="27">
        <v>-2028.49</v>
      </c>
      <c r="K469" s="25">
        <f t="shared" si="7"/>
        <v>0</v>
      </c>
    </row>
    <row r="470" spans="1:11" ht="15.95" customHeight="1" x14ac:dyDescent="0.2">
      <c r="A470" s="156" t="s">
        <v>771</v>
      </c>
      <c r="B470" s="369" t="s">
        <v>772</v>
      </c>
      <c r="C470" s="370"/>
      <c r="D470" s="370"/>
      <c r="E470" s="27">
        <v>-1261.4000000000001</v>
      </c>
      <c r="F470" s="27">
        <v>0</v>
      </c>
      <c r="H470" s="27">
        <v>0</v>
      </c>
      <c r="J470" s="27">
        <v>-1261.4000000000001</v>
      </c>
      <c r="K470" s="25">
        <f t="shared" si="7"/>
        <v>0</v>
      </c>
    </row>
    <row r="471" spans="1:11" ht="15.95" customHeight="1" x14ac:dyDescent="0.2">
      <c r="A471" s="156" t="s">
        <v>773</v>
      </c>
      <c r="B471" s="369" t="s">
        <v>774</v>
      </c>
      <c r="C471" s="370"/>
      <c r="D471" s="370"/>
      <c r="E471" s="27">
        <v>-5180.93</v>
      </c>
      <c r="F471" s="27">
        <v>0</v>
      </c>
      <c r="H471" s="27">
        <v>0</v>
      </c>
      <c r="J471" s="27">
        <v>-5180.93</v>
      </c>
      <c r="K471" s="25">
        <f t="shared" ref="K471:K528" si="8">J471-E471</f>
        <v>0</v>
      </c>
    </row>
    <row r="472" spans="1:11" ht="15.95" customHeight="1" x14ac:dyDescent="0.2">
      <c r="A472" s="156" t="s">
        <v>775</v>
      </c>
      <c r="B472" s="369" t="s">
        <v>776</v>
      </c>
      <c r="C472" s="370"/>
      <c r="D472" s="370"/>
      <c r="E472" s="27">
        <v>-206.2</v>
      </c>
      <c r="F472" s="27">
        <v>0</v>
      </c>
      <c r="H472" s="27">
        <v>0</v>
      </c>
      <c r="J472" s="27">
        <v>-206.2</v>
      </c>
      <c r="K472" s="25">
        <f t="shared" si="8"/>
        <v>0</v>
      </c>
    </row>
    <row r="473" spans="1:11" ht="15.95" customHeight="1" x14ac:dyDescent="0.2">
      <c r="A473" s="156" t="s">
        <v>777</v>
      </c>
      <c r="B473" s="369" t="s">
        <v>778</v>
      </c>
      <c r="C473" s="370"/>
      <c r="D473" s="370"/>
      <c r="E473" s="27">
        <v>-608.96</v>
      </c>
      <c r="F473" s="27">
        <v>0</v>
      </c>
      <c r="H473" s="27">
        <v>0</v>
      </c>
      <c r="J473" s="27">
        <v>-608.96</v>
      </c>
      <c r="K473" s="25">
        <f t="shared" si="8"/>
        <v>0</v>
      </c>
    </row>
    <row r="474" spans="1:11" ht="15.95" customHeight="1" x14ac:dyDescent="0.2">
      <c r="A474" s="156" t="s">
        <v>779</v>
      </c>
      <c r="B474" s="369" t="s">
        <v>780</v>
      </c>
      <c r="C474" s="370"/>
      <c r="D474" s="370"/>
      <c r="E474" s="27">
        <v>-156.04</v>
      </c>
      <c r="F474" s="27">
        <v>0</v>
      </c>
      <c r="H474" s="27">
        <v>0</v>
      </c>
      <c r="J474" s="27">
        <v>-156.04</v>
      </c>
      <c r="K474" s="25">
        <f t="shared" si="8"/>
        <v>0</v>
      </c>
    </row>
    <row r="475" spans="1:11" ht="15.95" customHeight="1" x14ac:dyDescent="0.2">
      <c r="A475" s="156" t="s">
        <v>781</v>
      </c>
      <c r="B475" s="369" t="s">
        <v>782</v>
      </c>
      <c r="C475" s="370"/>
      <c r="D475" s="370"/>
      <c r="E475" s="27">
        <v>-109.84</v>
      </c>
      <c r="F475" s="27">
        <v>0</v>
      </c>
      <c r="H475" s="27">
        <v>0</v>
      </c>
      <c r="J475" s="27">
        <v>-109.84</v>
      </c>
      <c r="K475" s="25">
        <f t="shared" si="8"/>
        <v>0</v>
      </c>
    </row>
    <row r="476" spans="1:11" ht="15.95" customHeight="1" x14ac:dyDescent="0.2">
      <c r="A476" s="156" t="s">
        <v>783</v>
      </c>
      <c r="B476" s="369" t="s">
        <v>784</v>
      </c>
      <c r="C476" s="370"/>
      <c r="D476" s="370"/>
      <c r="E476" s="27">
        <v>-683.35</v>
      </c>
      <c r="F476" s="27">
        <v>0</v>
      </c>
      <c r="H476" s="27">
        <v>0</v>
      </c>
      <c r="J476" s="27">
        <v>-683.35</v>
      </c>
      <c r="K476" s="25">
        <f t="shared" si="8"/>
        <v>0</v>
      </c>
    </row>
    <row r="477" spans="1:11" ht="15.95" customHeight="1" x14ac:dyDescent="0.2">
      <c r="A477" s="156" t="s">
        <v>785</v>
      </c>
      <c r="B477" s="369" t="s">
        <v>786</v>
      </c>
      <c r="C477" s="370"/>
      <c r="D477" s="370"/>
      <c r="E477" s="27">
        <v>-27</v>
      </c>
      <c r="F477" s="27">
        <v>5954.3</v>
      </c>
      <c r="H477" s="27">
        <v>5954.3</v>
      </c>
      <c r="J477" s="27">
        <v>-27</v>
      </c>
      <c r="K477" s="25">
        <f t="shared" si="8"/>
        <v>0</v>
      </c>
    </row>
    <row r="478" spans="1:11" ht="15.95" customHeight="1" x14ac:dyDescent="0.2">
      <c r="A478" s="156" t="s">
        <v>787</v>
      </c>
      <c r="B478" s="369" t="s">
        <v>788</v>
      </c>
      <c r="C478" s="370"/>
      <c r="D478" s="370"/>
      <c r="E478" s="27">
        <v>-45.32</v>
      </c>
      <c r="F478" s="27">
        <v>0</v>
      </c>
      <c r="H478" s="27">
        <v>0</v>
      </c>
      <c r="J478" s="27">
        <v>-45.32</v>
      </c>
      <c r="K478" s="25">
        <f t="shared" si="8"/>
        <v>0</v>
      </c>
    </row>
    <row r="479" spans="1:11" ht="15.95" customHeight="1" x14ac:dyDescent="0.2">
      <c r="A479" s="156" t="s">
        <v>789</v>
      </c>
      <c r="B479" s="369" t="s">
        <v>790</v>
      </c>
      <c r="C479" s="370"/>
      <c r="D479" s="370"/>
      <c r="E479" s="27">
        <v>-120.7</v>
      </c>
      <c r="F479" s="27">
        <v>0</v>
      </c>
      <c r="H479" s="27">
        <v>0</v>
      </c>
      <c r="J479" s="27">
        <v>-120.7</v>
      </c>
      <c r="K479" s="25">
        <f t="shared" si="8"/>
        <v>0</v>
      </c>
    </row>
    <row r="480" spans="1:11" ht="15.95" customHeight="1" x14ac:dyDescent="0.2">
      <c r="A480" s="156" t="s">
        <v>791</v>
      </c>
      <c r="B480" s="369" t="s">
        <v>792</v>
      </c>
      <c r="C480" s="370"/>
      <c r="D480" s="370"/>
      <c r="E480" s="27">
        <v>-674.65</v>
      </c>
      <c r="F480" s="27">
        <v>0</v>
      </c>
      <c r="H480" s="27">
        <v>0</v>
      </c>
      <c r="J480" s="27">
        <v>-674.65</v>
      </c>
      <c r="K480" s="25">
        <f t="shared" si="8"/>
        <v>0</v>
      </c>
    </row>
    <row r="481" spans="1:11" ht="15.95" customHeight="1" x14ac:dyDescent="0.2">
      <c r="A481" s="156" t="s">
        <v>793</v>
      </c>
      <c r="B481" s="369" t="s">
        <v>794</v>
      </c>
      <c r="C481" s="370"/>
      <c r="D481" s="370"/>
      <c r="E481" s="27">
        <v>-761.21</v>
      </c>
      <c r="F481" s="27">
        <v>0</v>
      </c>
      <c r="H481" s="27">
        <v>0</v>
      </c>
      <c r="J481" s="27">
        <v>-761.21</v>
      </c>
      <c r="K481" s="25">
        <f t="shared" si="8"/>
        <v>0</v>
      </c>
    </row>
    <row r="482" spans="1:11" ht="15.95" customHeight="1" x14ac:dyDescent="0.2">
      <c r="A482" s="156" t="s">
        <v>795</v>
      </c>
      <c r="B482" s="369" t="s">
        <v>796</v>
      </c>
      <c r="C482" s="370"/>
      <c r="D482" s="370"/>
      <c r="E482" s="27">
        <v>-44.62</v>
      </c>
      <c r="F482" s="27">
        <v>0</v>
      </c>
      <c r="H482" s="27">
        <v>0</v>
      </c>
      <c r="J482" s="27">
        <v>-44.62</v>
      </c>
      <c r="K482" s="25">
        <f t="shared" si="8"/>
        <v>0</v>
      </c>
    </row>
    <row r="483" spans="1:11" ht="15.95" customHeight="1" x14ac:dyDescent="0.2">
      <c r="A483" s="156" t="s">
        <v>797</v>
      </c>
      <c r="B483" s="369" t="s">
        <v>798</v>
      </c>
      <c r="C483" s="370"/>
      <c r="D483" s="370"/>
      <c r="E483" s="27">
        <v>-210.27</v>
      </c>
      <c r="F483" s="27">
        <v>0</v>
      </c>
      <c r="H483" s="27">
        <v>0</v>
      </c>
      <c r="J483" s="27">
        <v>-210.27</v>
      </c>
      <c r="K483" s="25">
        <f t="shared" si="8"/>
        <v>0</v>
      </c>
    </row>
    <row r="484" spans="1:11" ht="15.95" customHeight="1" x14ac:dyDescent="0.2">
      <c r="A484" s="156" t="s">
        <v>799</v>
      </c>
      <c r="B484" s="369" t="s">
        <v>800</v>
      </c>
      <c r="C484" s="370"/>
      <c r="D484" s="370"/>
      <c r="E484" s="27">
        <v>-2590.5</v>
      </c>
      <c r="F484" s="27">
        <v>0</v>
      </c>
      <c r="H484" s="27">
        <v>0</v>
      </c>
      <c r="J484" s="27">
        <v>-2590.5</v>
      </c>
      <c r="K484" s="25">
        <f t="shared" si="8"/>
        <v>0</v>
      </c>
    </row>
    <row r="485" spans="1:11" ht="15.95" customHeight="1" x14ac:dyDescent="0.2">
      <c r="A485" s="156" t="s">
        <v>801</v>
      </c>
      <c r="B485" s="369" t="s">
        <v>802</v>
      </c>
      <c r="C485" s="370"/>
      <c r="D485" s="370"/>
      <c r="E485" s="27">
        <v>-57.77</v>
      </c>
      <c r="F485" s="27">
        <v>0</v>
      </c>
      <c r="H485" s="27">
        <v>0</v>
      </c>
      <c r="J485" s="27">
        <v>-57.77</v>
      </c>
      <c r="K485" s="25">
        <f t="shared" si="8"/>
        <v>0</v>
      </c>
    </row>
    <row r="486" spans="1:11" ht="15.95" customHeight="1" x14ac:dyDescent="0.2">
      <c r="A486" s="156" t="s">
        <v>803</v>
      </c>
      <c r="B486" s="369" t="s">
        <v>804</v>
      </c>
      <c r="C486" s="370"/>
      <c r="D486" s="370"/>
      <c r="E486" s="27">
        <v>-384.27</v>
      </c>
      <c r="F486" s="27">
        <v>0</v>
      </c>
      <c r="H486" s="27">
        <v>0</v>
      </c>
      <c r="J486" s="27">
        <v>-384.27</v>
      </c>
      <c r="K486" s="25">
        <f t="shared" si="8"/>
        <v>0</v>
      </c>
    </row>
    <row r="487" spans="1:11" ht="15.95" customHeight="1" x14ac:dyDescent="0.2">
      <c r="A487" s="156" t="s">
        <v>805</v>
      </c>
      <c r="B487" s="369" t="s">
        <v>806</v>
      </c>
      <c r="C487" s="370"/>
      <c r="D487" s="370"/>
      <c r="E487" s="27">
        <v>-35.020000000000003</v>
      </c>
      <c r="F487" s="27">
        <v>0</v>
      </c>
      <c r="H487" s="27">
        <v>0</v>
      </c>
      <c r="J487" s="27">
        <v>-35.020000000000003</v>
      </c>
      <c r="K487" s="25">
        <f t="shared" si="8"/>
        <v>0</v>
      </c>
    </row>
    <row r="488" spans="1:11" ht="15.95" customHeight="1" x14ac:dyDescent="0.2">
      <c r="A488" s="156" t="s">
        <v>807</v>
      </c>
      <c r="B488" s="369" t="s">
        <v>808</v>
      </c>
      <c r="C488" s="370"/>
      <c r="D488" s="370"/>
      <c r="E488" s="27">
        <v>-2538.48</v>
      </c>
      <c r="F488" s="27">
        <v>0</v>
      </c>
      <c r="H488" s="27">
        <v>0</v>
      </c>
      <c r="J488" s="27">
        <v>-2538.48</v>
      </c>
      <c r="K488" s="25">
        <f t="shared" si="8"/>
        <v>0</v>
      </c>
    </row>
    <row r="489" spans="1:11" ht="15.95" customHeight="1" x14ac:dyDescent="0.2">
      <c r="A489" s="156" t="s">
        <v>809</v>
      </c>
      <c r="B489" s="369" t="s">
        <v>810</v>
      </c>
      <c r="C489" s="370"/>
      <c r="D489" s="370"/>
      <c r="E489" s="27">
        <v>-64.599999999999994</v>
      </c>
      <c r="F489" s="27">
        <v>0</v>
      </c>
      <c r="H489" s="27">
        <v>0</v>
      </c>
      <c r="J489" s="27">
        <v>-64.599999999999994</v>
      </c>
      <c r="K489" s="25">
        <f t="shared" si="8"/>
        <v>0</v>
      </c>
    </row>
    <row r="490" spans="1:11" ht="15.95" customHeight="1" x14ac:dyDescent="0.2">
      <c r="A490" s="156" t="s">
        <v>811</v>
      </c>
      <c r="B490" s="369" t="s">
        <v>812</v>
      </c>
      <c r="C490" s="370"/>
      <c r="D490" s="370"/>
      <c r="E490" s="27">
        <v>-410.25</v>
      </c>
      <c r="F490" s="27">
        <v>0</v>
      </c>
      <c r="H490" s="27">
        <v>0</v>
      </c>
      <c r="J490" s="27">
        <v>-410.25</v>
      </c>
      <c r="K490" s="25">
        <f t="shared" si="8"/>
        <v>0</v>
      </c>
    </row>
    <row r="491" spans="1:11" ht="27.95" customHeight="1" x14ac:dyDescent="0.2">
      <c r="A491" s="156" t="s">
        <v>813</v>
      </c>
      <c r="B491" s="369" t="s">
        <v>814</v>
      </c>
      <c r="C491" s="370"/>
      <c r="D491" s="370"/>
      <c r="E491" s="27">
        <v>-49.5</v>
      </c>
      <c r="F491" s="27">
        <v>0</v>
      </c>
      <c r="H491" s="27">
        <v>0</v>
      </c>
      <c r="J491" s="27">
        <v>-49.5</v>
      </c>
      <c r="K491" s="25">
        <f t="shared" si="8"/>
        <v>0</v>
      </c>
    </row>
    <row r="492" spans="1:11" ht="15.95" customHeight="1" x14ac:dyDescent="0.2">
      <c r="A492" s="156" t="s">
        <v>815</v>
      </c>
      <c r="B492" s="369" t="s">
        <v>816</v>
      </c>
      <c r="C492" s="370"/>
      <c r="D492" s="370"/>
      <c r="E492" s="27">
        <v>-228.66</v>
      </c>
      <c r="F492" s="27">
        <v>0</v>
      </c>
      <c r="H492" s="27">
        <v>0</v>
      </c>
      <c r="J492" s="27">
        <v>-228.66</v>
      </c>
      <c r="K492" s="25">
        <f t="shared" si="8"/>
        <v>0</v>
      </c>
    </row>
    <row r="493" spans="1:11" ht="15.95" customHeight="1" x14ac:dyDescent="0.2">
      <c r="A493" s="156" t="s">
        <v>817</v>
      </c>
      <c r="B493" s="369" t="s">
        <v>818</v>
      </c>
      <c r="C493" s="370"/>
      <c r="D493" s="370"/>
      <c r="E493" s="27">
        <v>-145.24</v>
      </c>
      <c r="F493" s="27">
        <v>0</v>
      </c>
      <c r="H493" s="27">
        <v>0</v>
      </c>
      <c r="J493" s="27">
        <v>-145.24</v>
      </c>
      <c r="K493" s="25">
        <f t="shared" si="8"/>
        <v>0</v>
      </c>
    </row>
    <row r="494" spans="1:11" ht="15.95" customHeight="1" x14ac:dyDescent="0.2">
      <c r="A494" s="156" t="s">
        <v>819</v>
      </c>
      <c r="B494" s="369" t="s">
        <v>820</v>
      </c>
      <c r="C494" s="370"/>
      <c r="D494" s="370"/>
      <c r="E494" s="27">
        <v>-515.5</v>
      </c>
      <c r="F494" s="27">
        <v>0</v>
      </c>
      <c r="H494" s="27">
        <v>0</v>
      </c>
      <c r="J494" s="27">
        <v>-515.5</v>
      </c>
      <c r="K494" s="25">
        <f t="shared" si="8"/>
        <v>0</v>
      </c>
    </row>
    <row r="495" spans="1:11" ht="15.95" customHeight="1" x14ac:dyDescent="0.2">
      <c r="A495" s="156" t="s">
        <v>821</v>
      </c>
      <c r="B495" s="369" t="s">
        <v>822</v>
      </c>
      <c r="C495" s="370"/>
      <c r="D495" s="370"/>
      <c r="E495" s="27">
        <v>-22.51</v>
      </c>
      <c r="F495" s="27">
        <v>0</v>
      </c>
      <c r="H495" s="27">
        <v>0</v>
      </c>
      <c r="J495" s="27">
        <v>-22.51</v>
      </c>
      <c r="K495" s="25">
        <f t="shared" si="8"/>
        <v>0</v>
      </c>
    </row>
    <row r="496" spans="1:11" ht="15.95" customHeight="1" x14ac:dyDescent="0.2">
      <c r="A496" s="156" t="s">
        <v>823</v>
      </c>
      <c r="B496" s="369" t="s">
        <v>824</v>
      </c>
      <c r="C496" s="370"/>
      <c r="D496" s="370"/>
      <c r="E496" s="27">
        <v>-10</v>
      </c>
      <c r="F496" s="27">
        <v>0</v>
      </c>
      <c r="H496" s="27">
        <v>0</v>
      </c>
      <c r="J496" s="27">
        <v>-10</v>
      </c>
      <c r="K496" s="25">
        <f t="shared" si="8"/>
        <v>0</v>
      </c>
    </row>
    <row r="497" spans="1:11" ht="15.95" customHeight="1" x14ac:dyDescent="0.2">
      <c r="A497" s="156" t="s">
        <v>825</v>
      </c>
      <c r="B497" s="369" t="s">
        <v>826</v>
      </c>
      <c r="C497" s="370"/>
      <c r="D497" s="370"/>
      <c r="E497" s="27">
        <v>-98.32</v>
      </c>
      <c r="F497" s="27">
        <v>0</v>
      </c>
      <c r="H497" s="27">
        <v>0</v>
      </c>
      <c r="J497" s="27">
        <v>-98.32</v>
      </c>
      <c r="K497" s="25">
        <f t="shared" si="8"/>
        <v>0</v>
      </c>
    </row>
    <row r="498" spans="1:11" ht="15.95" customHeight="1" x14ac:dyDescent="0.2">
      <c r="A498" s="156" t="s">
        <v>827</v>
      </c>
      <c r="B498" s="369" t="s">
        <v>828</v>
      </c>
      <c r="C498" s="370"/>
      <c r="D498" s="370"/>
      <c r="E498" s="27">
        <v>-21.62</v>
      </c>
      <c r="F498" s="27">
        <v>0</v>
      </c>
      <c r="H498" s="27">
        <v>0</v>
      </c>
      <c r="J498" s="27">
        <v>-21.62</v>
      </c>
      <c r="K498" s="25">
        <f t="shared" si="8"/>
        <v>0</v>
      </c>
    </row>
    <row r="499" spans="1:11" ht="15.95" customHeight="1" x14ac:dyDescent="0.2">
      <c r="A499" s="156" t="s">
        <v>829</v>
      </c>
      <c r="B499" s="369" t="s">
        <v>830</v>
      </c>
      <c r="C499" s="370"/>
      <c r="D499" s="370"/>
      <c r="E499" s="27">
        <v>-1274.77</v>
      </c>
      <c r="F499" s="27">
        <v>0</v>
      </c>
      <c r="H499" s="27">
        <v>0</v>
      </c>
      <c r="J499" s="27">
        <v>-1274.77</v>
      </c>
      <c r="K499" s="25">
        <f t="shared" si="8"/>
        <v>0</v>
      </c>
    </row>
    <row r="500" spans="1:11" ht="15.95" customHeight="1" x14ac:dyDescent="0.2">
      <c r="A500" s="156" t="s">
        <v>831</v>
      </c>
      <c r="B500" s="369" t="s">
        <v>832</v>
      </c>
      <c r="C500" s="370"/>
      <c r="D500" s="370"/>
      <c r="E500" s="27">
        <v>-170009.81</v>
      </c>
      <c r="F500" s="27">
        <v>0</v>
      </c>
      <c r="H500" s="27">
        <v>0</v>
      </c>
      <c r="J500" s="27">
        <v>-170009.81</v>
      </c>
      <c r="K500" s="25">
        <f t="shared" si="8"/>
        <v>0</v>
      </c>
    </row>
    <row r="501" spans="1:11" ht="15.95" customHeight="1" x14ac:dyDescent="0.2">
      <c r="A501" s="156" t="s">
        <v>833</v>
      </c>
      <c r="B501" s="369" t="s">
        <v>834</v>
      </c>
      <c r="C501" s="370"/>
      <c r="D501" s="370"/>
      <c r="E501" s="27">
        <v>-268.06</v>
      </c>
      <c r="F501" s="27">
        <v>0</v>
      </c>
      <c r="H501" s="27">
        <v>0</v>
      </c>
      <c r="J501" s="27">
        <v>-268.06</v>
      </c>
      <c r="K501" s="25">
        <f t="shared" si="8"/>
        <v>0</v>
      </c>
    </row>
    <row r="502" spans="1:11" ht="15.95" customHeight="1" x14ac:dyDescent="0.2">
      <c r="A502" s="156" t="s">
        <v>835</v>
      </c>
      <c r="B502" s="369" t="s">
        <v>836</v>
      </c>
      <c r="C502" s="370"/>
      <c r="D502" s="370"/>
      <c r="E502" s="27">
        <v>-394.41</v>
      </c>
      <c r="F502" s="27">
        <v>0</v>
      </c>
      <c r="H502" s="27">
        <v>0</v>
      </c>
      <c r="J502" s="27">
        <v>-394.41</v>
      </c>
      <c r="K502" s="25">
        <f t="shared" si="8"/>
        <v>0</v>
      </c>
    </row>
    <row r="503" spans="1:11" ht="15.95" customHeight="1" x14ac:dyDescent="0.2">
      <c r="A503" s="156" t="s">
        <v>837</v>
      </c>
      <c r="B503" s="369" t="s">
        <v>838</v>
      </c>
      <c r="C503" s="370"/>
      <c r="D503" s="370"/>
      <c r="E503" s="27">
        <v>-140.36000000000001</v>
      </c>
      <c r="F503" s="27">
        <v>0</v>
      </c>
      <c r="H503" s="27">
        <v>0</v>
      </c>
      <c r="J503" s="27">
        <v>-140.36000000000001</v>
      </c>
      <c r="K503" s="25">
        <f t="shared" si="8"/>
        <v>0</v>
      </c>
    </row>
    <row r="504" spans="1:11" ht="15.95" customHeight="1" x14ac:dyDescent="0.2">
      <c r="A504" s="156" t="s">
        <v>839</v>
      </c>
      <c r="B504" s="369" t="s">
        <v>840</v>
      </c>
      <c r="C504" s="370"/>
      <c r="D504" s="370"/>
      <c r="E504" s="27">
        <v>-29.76</v>
      </c>
      <c r="F504" s="27">
        <v>0</v>
      </c>
      <c r="H504" s="27">
        <v>0</v>
      </c>
      <c r="J504" s="27">
        <v>-29.76</v>
      </c>
      <c r="K504" s="25">
        <f t="shared" si="8"/>
        <v>0</v>
      </c>
    </row>
    <row r="505" spans="1:11" ht="15.95" customHeight="1" x14ac:dyDescent="0.2">
      <c r="A505" s="156" t="s">
        <v>841</v>
      </c>
      <c r="B505" s="369" t="s">
        <v>842</v>
      </c>
      <c r="C505" s="370"/>
      <c r="D505" s="370"/>
      <c r="E505" s="27">
        <v>-151.47999999999999</v>
      </c>
      <c r="F505" s="27">
        <v>0</v>
      </c>
      <c r="H505" s="27">
        <v>0</v>
      </c>
      <c r="J505" s="27">
        <v>-151.47999999999999</v>
      </c>
      <c r="K505" s="25">
        <f t="shared" si="8"/>
        <v>0</v>
      </c>
    </row>
    <row r="506" spans="1:11" ht="15.95" customHeight="1" x14ac:dyDescent="0.2">
      <c r="A506" s="156" t="s">
        <v>843</v>
      </c>
      <c r="B506" s="369" t="s">
        <v>844</v>
      </c>
      <c r="C506" s="370"/>
      <c r="D506" s="370"/>
      <c r="E506" s="27">
        <v>-11402.28</v>
      </c>
      <c r="F506" s="27">
        <v>0</v>
      </c>
      <c r="H506" s="27">
        <v>0</v>
      </c>
      <c r="J506" s="27">
        <v>-11402.28</v>
      </c>
      <c r="K506" s="25">
        <f t="shared" si="8"/>
        <v>0</v>
      </c>
    </row>
    <row r="507" spans="1:11" ht="15.95" customHeight="1" x14ac:dyDescent="0.2">
      <c r="A507" s="156" t="s">
        <v>847</v>
      </c>
      <c r="B507" s="369" t="s">
        <v>848</v>
      </c>
      <c r="C507" s="370"/>
      <c r="D507" s="370"/>
      <c r="E507" s="27">
        <v>-260.05</v>
      </c>
      <c r="F507" s="27">
        <v>0</v>
      </c>
      <c r="H507" s="27">
        <v>0</v>
      </c>
      <c r="J507" s="27">
        <v>-260.05</v>
      </c>
      <c r="K507" s="25">
        <f t="shared" si="8"/>
        <v>0</v>
      </c>
    </row>
    <row r="508" spans="1:11" ht="15.95" customHeight="1" x14ac:dyDescent="0.2">
      <c r="A508" s="156" t="s">
        <v>849</v>
      </c>
      <c r="B508" s="369" t="s">
        <v>850</v>
      </c>
      <c r="C508" s="370"/>
      <c r="D508" s="370"/>
      <c r="E508" s="27">
        <v>-20.38</v>
      </c>
      <c r="F508" s="27">
        <v>0</v>
      </c>
      <c r="H508" s="27">
        <v>0</v>
      </c>
      <c r="J508" s="27">
        <v>-20.38</v>
      </c>
      <c r="K508" s="25">
        <f t="shared" si="8"/>
        <v>0</v>
      </c>
    </row>
    <row r="509" spans="1:11" ht="15.95" customHeight="1" x14ac:dyDescent="0.2">
      <c r="A509" s="156" t="s">
        <v>851</v>
      </c>
      <c r="B509" s="369" t="s">
        <v>852</v>
      </c>
      <c r="C509" s="370"/>
      <c r="D509" s="370"/>
      <c r="E509" s="27">
        <v>-286.95999999999998</v>
      </c>
      <c r="F509" s="27">
        <v>0</v>
      </c>
      <c r="H509" s="27">
        <v>0</v>
      </c>
      <c r="J509" s="27">
        <v>-286.95999999999998</v>
      </c>
      <c r="K509" s="25">
        <f t="shared" si="8"/>
        <v>0</v>
      </c>
    </row>
    <row r="510" spans="1:11" ht="15.95" customHeight="1" x14ac:dyDescent="0.2">
      <c r="A510" s="156" t="s">
        <v>853</v>
      </c>
      <c r="B510" s="369" t="s">
        <v>854</v>
      </c>
      <c r="C510" s="370"/>
      <c r="D510" s="370"/>
      <c r="E510" s="27">
        <v>-633.79999999999995</v>
      </c>
      <c r="F510" s="27">
        <v>0</v>
      </c>
      <c r="H510" s="27">
        <v>0</v>
      </c>
      <c r="J510" s="27">
        <v>-633.79999999999995</v>
      </c>
      <c r="K510" s="25">
        <f t="shared" si="8"/>
        <v>0</v>
      </c>
    </row>
    <row r="511" spans="1:11" ht="15.95" customHeight="1" x14ac:dyDescent="0.2">
      <c r="A511" s="156" t="s">
        <v>855</v>
      </c>
      <c r="B511" s="369" t="s">
        <v>856</v>
      </c>
      <c r="C511" s="370"/>
      <c r="D511" s="370"/>
      <c r="E511" s="27">
        <v>-260.16000000000003</v>
      </c>
      <c r="F511" s="27">
        <v>0</v>
      </c>
      <c r="H511" s="27">
        <v>0</v>
      </c>
      <c r="J511" s="27">
        <v>-260.16000000000003</v>
      </c>
      <c r="K511" s="25">
        <f t="shared" si="8"/>
        <v>0</v>
      </c>
    </row>
    <row r="512" spans="1:11" ht="15.95" customHeight="1" x14ac:dyDescent="0.2">
      <c r="A512" s="156" t="s">
        <v>857</v>
      </c>
      <c r="B512" s="369" t="s">
        <v>858</v>
      </c>
      <c r="C512" s="370"/>
      <c r="D512" s="370"/>
      <c r="E512" s="27">
        <v>-2953.97</v>
      </c>
      <c r="F512" s="27">
        <v>0</v>
      </c>
      <c r="H512" s="27">
        <v>0</v>
      </c>
      <c r="J512" s="27">
        <v>-2953.97</v>
      </c>
      <c r="K512" s="25">
        <f t="shared" si="8"/>
        <v>0</v>
      </c>
    </row>
    <row r="513" spans="1:11" ht="15.95" customHeight="1" x14ac:dyDescent="0.2">
      <c r="A513" s="156" t="s">
        <v>859</v>
      </c>
      <c r="B513" s="369" t="s">
        <v>860</v>
      </c>
      <c r="C513" s="370"/>
      <c r="D513" s="370"/>
      <c r="E513" s="27">
        <v>-2514.64</v>
      </c>
      <c r="F513" s="27">
        <v>0</v>
      </c>
      <c r="H513" s="27">
        <v>0</v>
      </c>
      <c r="J513" s="27">
        <v>-2514.64</v>
      </c>
      <c r="K513" s="25">
        <f t="shared" si="8"/>
        <v>0</v>
      </c>
    </row>
    <row r="514" spans="1:11" ht="15.95" customHeight="1" x14ac:dyDescent="0.2">
      <c r="A514" s="156" t="s">
        <v>861</v>
      </c>
      <c r="B514" s="369" t="s">
        <v>862</v>
      </c>
      <c r="C514" s="370"/>
      <c r="D514" s="370"/>
      <c r="E514" s="27">
        <v>-29.84</v>
      </c>
      <c r="F514" s="27">
        <v>0</v>
      </c>
      <c r="H514" s="27">
        <v>0</v>
      </c>
      <c r="J514" s="27">
        <v>-29.84</v>
      </c>
      <c r="K514" s="25">
        <f t="shared" si="8"/>
        <v>0</v>
      </c>
    </row>
    <row r="515" spans="1:11" ht="15.95" customHeight="1" x14ac:dyDescent="0.2">
      <c r="A515" s="156" t="s">
        <v>863</v>
      </c>
      <c r="B515" s="369" t="s">
        <v>864</v>
      </c>
      <c r="C515" s="370"/>
      <c r="D515" s="370"/>
      <c r="E515" s="27">
        <v>-866.83</v>
      </c>
      <c r="F515" s="27">
        <v>0</v>
      </c>
      <c r="H515" s="27">
        <v>0</v>
      </c>
      <c r="J515" s="27">
        <v>-866.83</v>
      </c>
      <c r="K515" s="25">
        <f t="shared" si="8"/>
        <v>0</v>
      </c>
    </row>
    <row r="516" spans="1:11" ht="15.95" customHeight="1" x14ac:dyDescent="0.2">
      <c r="A516" s="156" t="s">
        <v>865</v>
      </c>
      <c r="B516" s="369" t="s">
        <v>866</v>
      </c>
      <c r="C516" s="370"/>
      <c r="D516" s="370"/>
      <c r="E516" s="27">
        <v>-236.03</v>
      </c>
      <c r="F516" s="27">
        <v>0</v>
      </c>
      <c r="H516" s="27">
        <v>0</v>
      </c>
      <c r="J516" s="27">
        <v>-236.03</v>
      </c>
      <c r="K516" s="25">
        <f t="shared" si="8"/>
        <v>0</v>
      </c>
    </row>
    <row r="517" spans="1:11" ht="15.95" customHeight="1" x14ac:dyDescent="0.2">
      <c r="A517" s="156" t="s">
        <v>867</v>
      </c>
      <c r="B517" s="369" t="s">
        <v>868</v>
      </c>
      <c r="C517" s="370"/>
      <c r="D517" s="370"/>
      <c r="E517" s="27">
        <v>-148.35</v>
      </c>
      <c r="F517" s="27">
        <v>0</v>
      </c>
      <c r="H517" s="27">
        <v>0</v>
      </c>
      <c r="J517" s="27">
        <v>-148.35</v>
      </c>
      <c r="K517" s="25">
        <f t="shared" si="8"/>
        <v>0</v>
      </c>
    </row>
    <row r="518" spans="1:11" ht="15.95" customHeight="1" x14ac:dyDescent="0.2">
      <c r="A518" s="156" t="s">
        <v>871</v>
      </c>
      <c r="B518" s="369" t="s">
        <v>872</v>
      </c>
      <c r="C518" s="370"/>
      <c r="D518" s="370"/>
      <c r="E518" s="27">
        <v>-70.819999999999993</v>
      </c>
      <c r="F518" s="27">
        <v>0</v>
      </c>
      <c r="H518" s="27">
        <v>0</v>
      </c>
      <c r="J518" s="27">
        <v>-70.819999999999993</v>
      </c>
      <c r="K518" s="25">
        <f t="shared" si="8"/>
        <v>0</v>
      </c>
    </row>
    <row r="519" spans="1:11" ht="15.95" customHeight="1" x14ac:dyDescent="0.2">
      <c r="A519" s="156" t="s">
        <v>873</v>
      </c>
      <c r="B519" s="369" t="s">
        <v>874</v>
      </c>
      <c r="C519" s="370"/>
      <c r="D519" s="370"/>
      <c r="E519" s="27">
        <v>-396.38</v>
      </c>
      <c r="F519" s="27">
        <v>0</v>
      </c>
      <c r="H519" s="27">
        <v>0</v>
      </c>
      <c r="J519" s="27">
        <v>-396.38</v>
      </c>
      <c r="K519" s="25">
        <f t="shared" si="8"/>
        <v>0</v>
      </c>
    </row>
    <row r="520" spans="1:11" ht="15.95" customHeight="1" x14ac:dyDescent="0.2">
      <c r="A520" s="156" t="s">
        <v>875</v>
      </c>
      <c r="B520" s="369" t="s">
        <v>876</v>
      </c>
      <c r="C520" s="370"/>
      <c r="D520" s="370"/>
      <c r="E520" s="27">
        <v>-117.09</v>
      </c>
      <c r="F520" s="27">
        <v>0</v>
      </c>
      <c r="H520" s="27">
        <v>0</v>
      </c>
      <c r="J520" s="27">
        <v>-117.09</v>
      </c>
      <c r="K520" s="25">
        <f t="shared" si="8"/>
        <v>0</v>
      </c>
    </row>
    <row r="521" spans="1:11" ht="15.95" customHeight="1" x14ac:dyDescent="0.2">
      <c r="A521" s="156" t="s">
        <v>877</v>
      </c>
      <c r="B521" s="369" t="s">
        <v>878</v>
      </c>
      <c r="C521" s="370"/>
      <c r="D521" s="370"/>
      <c r="E521" s="27">
        <v>-1638.3</v>
      </c>
      <c r="F521" s="27">
        <v>0</v>
      </c>
      <c r="H521" s="27">
        <v>0</v>
      </c>
      <c r="J521" s="27">
        <v>-1638.3</v>
      </c>
      <c r="K521" s="25">
        <f t="shared" si="8"/>
        <v>0</v>
      </c>
    </row>
    <row r="522" spans="1:11" ht="15.95" customHeight="1" x14ac:dyDescent="0.2">
      <c r="A522" s="156" t="s">
        <v>879</v>
      </c>
      <c r="B522" s="369" t="s">
        <v>880</v>
      </c>
      <c r="C522" s="370"/>
      <c r="D522" s="370"/>
      <c r="E522" s="27">
        <v>-13.09</v>
      </c>
      <c r="F522" s="27">
        <v>0</v>
      </c>
      <c r="H522" s="27">
        <v>0</v>
      </c>
      <c r="J522" s="27">
        <v>-13.09</v>
      </c>
      <c r="K522" s="25">
        <f t="shared" si="8"/>
        <v>0</v>
      </c>
    </row>
    <row r="523" spans="1:11" ht="15.95" customHeight="1" x14ac:dyDescent="0.2">
      <c r="A523" s="156" t="s">
        <v>881</v>
      </c>
      <c r="B523" s="369" t="s">
        <v>882</v>
      </c>
      <c r="C523" s="370"/>
      <c r="D523" s="370"/>
      <c r="E523" s="27">
        <v>-164.32</v>
      </c>
      <c r="F523" s="27">
        <v>0</v>
      </c>
      <c r="H523" s="27">
        <v>0</v>
      </c>
      <c r="J523" s="27">
        <v>-164.32</v>
      </c>
      <c r="K523" s="25">
        <f t="shared" si="8"/>
        <v>0</v>
      </c>
    </row>
    <row r="524" spans="1:11" ht="15.95" customHeight="1" x14ac:dyDescent="0.2">
      <c r="A524" s="156" t="s">
        <v>883</v>
      </c>
      <c r="B524" s="369" t="s">
        <v>884</v>
      </c>
      <c r="C524" s="370"/>
      <c r="D524" s="370"/>
      <c r="E524" s="27">
        <v>-1094.4100000000001</v>
      </c>
      <c r="F524" s="27">
        <v>0</v>
      </c>
      <c r="H524" s="27">
        <v>0</v>
      </c>
      <c r="J524" s="27">
        <v>-1094.4100000000001</v>
      </c>
      <c r="K524" s="25">
        <f t="shared" si="8"/>
        <v>0</v>
      </c>
    </row>
    <row r="525" spans="1:11" ht="15.95" customHeight="1" x14ac:dyDescent="0.2">
      <c r="A525" s="156" t="s">
        <v>885</v>
      </c>
      <c r="B525" s="369" t="s">
        <v>886</v>
      </c>
      <c r="C525" s="370"/>
      <c r="D525" s="370"/>
      <c r="E525" s="27">
        <v>-136.56</v>
      </c>
      <c r="F525" s="27">
        <v>0</v>
      </c>
      <c r="H525" s="27">
        <v>0</v>
      </c>
      <c r="J525" s="27">
        <v>-136.56</v>
      </c>
      <c r="K525" s="25">
        <f t="shared" si="8"/>
        <v>0</v>
      </c>
    </row>
    <row r="526" spans="1:11" ht="15.95" customHeight="1" x14ac:dyDescent="0.2">
      <c r="A526" s="156" t="s">
        <v>887</v>
      </c>
      <c r="B526" s="369" t="s">
        <v>888</v>
      </c>
      <c r="C526" s="370"/>
      <c r="D526" s="370"/>
      <c r="E526" s="27">
        <v>-2046.48</v>
      </c>
      <c r="F526" s="27">
        <v>0</v>
      </c>
      <c r="H526" s="27">
        <v>0</v>
      </c>
      <c r="J526" s="27">
        <v>-2046.48</v>
      </c>
      <c r="K526" s="25">
        <f t="shared" si="8"/>
        <v>0</v>
      </c>
    </row>
    <row r="527" spans="1:11" ht="15.95" customHeight="1" x14ac:dyDescent="0.2">
      <c r="A527" s="156" t="s">
        <v>889</v>
      </c>
      <c r="B527" s="369" t="s">
        <v>890</v>
      </c>
      <c r="C527" s="370"/>
      <c r="D527" s="370"/>
      <c r="E527" s="27">
        <v>-2708.77</v>
      </c>
      <c r="F527" s="27">
        <v>0</v>
      </c>
      <c r="H527" s="27">
        <v>0</v>
      </c>
      <c r="J527" s="27">
        <v>-2708.77</v>
      </c>
      <c r="K527" s="25">
        <f t="shared" si="8"/>
        <v>0</v>
      </c>
    </row>
    <row r="528" spans="1:11" ht="15.95" customHeight="1" x14ac:dyDescent="0.2">
      <c r="A528" s="156" t="s">
        <v>891</v>
      </c>
      <c r="B528" s="369" t="s">
        <v>892</v>
      </c>
      <c r="C528" s="370"/>
      <c r="D528" s="370"/>
      <c r="E528" s="27">
        <v>-1092.42</v>
      </c>
      <c r="F528" s="27">
        <v>0</v>
      </c>
      <c r="H528" s="27">
        <v>0</v>
      </c>
      <c r="J528" s="27">
        <v>-1092.42</v>
      </c>
      <c r="K528" s="25">
        <f t="shared" si="8"/>
        <v>0</v>
      </c>
    </row>
    <row r="529" spans="1:11" ht="15.95" customHeight="1" x14ac:dyDescent="0.2">
      <c r="A529" s="156" t="s">
        <v>893</v>
      </c>
      <c r="B529" s="369" t="s">
        <v>894</v>
      </c>
      <c r="C529" s="370"/>
      <c r="D529" s="370"/>
      <c r="E529" s="27">
        <v>-52.6</v>
      </c>
      <c r="F529" s="27">
        <v>0</v>
      </c>
      <c r="H529" s="27">
        <v>0</v>
      </c>
      <c r="J529" s="27">
        <v>-52.6</v>
      </c>
      <c r="K529" s="25">
        <f t="shared" ref="K529:K586" si="9">J529-E529</f>
        <v>0</v>
      </c>
    </row>
    <row r="530" spans="1:11" ht="15.95" customHeight="1" x14ac:dyDescent="0.2">
      <c r="A530" s="156" t="s">
        <v>895</v>
      </c>
      <c r="B530" s="369" t="s">
        <v>896</v>
      </c>
      <c r="C530" s="370"/>
      <c r="D530" s="370"/>
      <c r="E530" s="27">
        <v>-93.68</v>
      </c>
      <c r="F530" s="27">
        <v>0</v>
      </c>
      <c r="H530" s="27">
        <v>0</v>
      </c>
      <c r="J530" s="27">
        <v>-93.68</v>
      </c>
      <c r="K530" s="25">
        <f t="shared" si="9"/>
        <v>0</v>
      </c>
    </row>
    <row r="531" spans="1:11" ht="15.95" customHeight="1" x14ac:dyDescent="0.2">
      <c r="A531" s="156" t="s">
        <v>897</v>
      </c>
      <c r="B531" s="369" t="s">
        <v>898</v>
      </c>
      <c r="C531" s="370"/>
      <c r="D531" s="370"/>
      <c r="E531" s="27">
        <v>-27.05</v>
      </c>
      <c r="F531" s="27">
        <v>0</v>
      </c>
      <c r="H531" s="27">
        <v>0</v>
      </c>
      <c r="J531" s="27">
        <v>-27.05</v>
      </c>
      <c r="K531" s="25">
        <f t="shared" si="9"/>
        <v>0</v>
      </c>
    </row>
    <row r="532" spans="1:11" ht="15.95" customHeight="1" x14ac:dyDescent="0.2">
      <c r="A532" s="156" t="s">
        <v>899</v>
      </c>
      <c r="B532" s="369" t="s">
        <v>900</v>
      </c>
      <c r="C532" s="370"/>
      <c r="D532" s="370"/>
      <c r="E532" s="27">
        <v>-429.13</v>
      </c>
      <c r="F532" s="27">
        <v>0</v>
      </c>
      <c r="H532" s="27">
        <v>0</v>
      </c>
      <c r="J532" s="27">
        <v>-429.13</v>
      </c>
      <c r="K532" s="25">
        <f t="shared" si="9"/>
        <v>0</v>
      </c>
    </row>
    <row r="533" spans="1:11" ht="15.95" customHeight="1" x14ac:dyDescent="0.2">
      <c r="A533" s="156" t="s">
        <v>901</v>
      </c>
      <c r="B533" s="369" t="s">
        <v>902</v>
      </c>
      <c r="C533" s="370"/>
      <c r="D533" s="370"/>
      <c r="E533" s="27">
        <v>-91.74</v>
      </c>
      <c r="F533" s="27">
        <v>0</v>
      </c>
      <c r="H533" s="27">
        <v>0</v>
      </c>
      <c r="J533" s="27">
        <v>-91.74</v>
      </c>
      <c r="K533" s="25">
        <f t="shared" si="9"/>
        <v>0</v>
      </c>
    </row>
    <row r="534" spans="1:11" ht="15.95" customHeight="1" x14ac:dyDescent="0.2">
      <c r="A534" s="156" t="s">
        <v>903</v>
      </c>
      <c r="B534" s="369" t="s">
        <v>904</v>
      </c>
      <c r="C534" s="370"/>
      <c r="D534" s="370"/>
      <c r="E534" s="27">
        <v>-501</v>
      </c>
      <c r="F534" s="27">
        <v>0</v>
      </c>
      <c r="H534" s="27">
        <v>0</v>
      </c>
      <c r="J534" s="27">
        <v>-501</v>
      </c>
      <c r="K534" s="25">
        <f t="shared" si="9"/>
        <v>0</v>
      </c>
    </row>
    <row r="535" spans="1:11" ht="15.95" customHeight="1" x14ac:dyDescent="0.2">
      <c r="A535" s="156" t="s">
        <v>905</v>
      </c>
      <c r="B535" s="369" t="s">
        <v>906</v>
      </c>
      <c r="C535" s="370"/>
      <c r="D535" s="370"/>
      <c r="E535" s="27">
        <v>-4910.01</v>
      </c>
      <c r="F535" s="27">
        <v>0</v>
      </c>
      <c r="H535" s="27">
        <v>0</v>
      </c>
      <c r="J535" s="27">
        <v>-4910.01</v>
      </c>
      <c r="K535" s="25">
        <f t="shared" si="9"/>
        <v>0</v>
      </c>
    </row>
    <row r="536" spans="1:11" ht="15.95" customHeight="1" x14ac:dyDescent="0.2">
      <c r="A536" s="156" t="s">
        <v>907</v>
      </c>
      <c r="B536" s="369" t="s">
        <v>908</v>
      </c>
      <c r="C536" s="370"/>
      <c r="D536" s="370"/>
      <c r="E536" s="27">
        <v>-106</v>
      </c>
      <c r="F536" s="27">
        <v>0</v>
      </c>
      <c r="H536" s="27">
        <v>0</v>
      </c>
      <c r="J536" s="27">
        <v>-106</v>
      </c>
      <c r="K536" s="25">
        <f t="shared" si="9"/>
        <v>0</v>
      </c>
    </row>
    <row r="537" spans="1:11" ht="15.95" customHeight="1" x14ac:dyDescent="0.2">
      <c r="A537" s="156" t="s">
        <v>909</v>
      </c>
      <c r="B537" s="369" t="s">
        <v>910</v>
      </c>
      <c r="C537" s="370"/>
      <c r="D537" s="370"/>
      <c r="E537" s="27">
        <v>-41.75</v>
      </c>
      <c r="F537" s="27">
        <v>0</v>
      </c>
      <c r="H537" s="27">
        <v>0</v>
      </c>
      <c r="J537" s="27">
        <v>-41.75</v>
      </c>
      <c r="K537" s="25">
        <f t="shared" si="9"/>
        <v>0</v>
      </c>
    </row>
    <row r="538" spans="1:11" ht="15.95" customHeight="1" x14ac:dyDescent="0.2">
      <c r="A538" s="156" t="s">
        <v>1613</v>
      </c>
      <c r="B538" s="369" t="s">
        <v>1614</v>
      </c>
      <c r="C538" s="370"/>
      <c r="D538" s="370"/>
      <c r="E538" s="27">
        <v>-13.74</v>
      </c>
      <c r="F538" s="27">
        <v>13.74</v>
      </c>
      <c r="H538" s="27">
        <v>0</v>
      </c>
      <c r="J538" s="27">
        <v>0</v>
      </c>
      <c r="K538" s="25">
        <f t="shared" si="9"/>
        <v>13.74</v>
      </c>
    </row>
    <row r="539" spans="1:11" ht="15.95" customHeight="1" x14ac:dyDescent="0.2">
      <c r="A539" s="156" t="s">
        <v>911</v>
      </c>
      <c r="B539" s="369" t="s">
        <v>912</v>
      </c>
      <c r="C539" s="370"/>
      <c r="D539" s="370"/>
      <c r="E539" s="27">
        <v>0</v>
      </c>
      <c r="F539" s="27">
        <v>0</v>
      </c>
      <c r="H539" s="27">
        <v>25.84</v>
      </c>
      <c r="J539" s="27">
        <v>-25.84</v>
      </c>
      <c r="K539" s="25">
        <f t="shared" si="9"/>
        <v>-25.84</v>
      </c>
    </row>
    <row r="540" spans="1:11" ht="15.95" customHeight="1" x14ac:dyDescent="0.2">
      <c r="A540" s="156" t="s">
        <v>913</v>
      </c>
      <c r="B540" s="369" t="s">
        <v>914</v>
      </c>
      <c r="C540" s="370"/>
      <c r="D540" s="370"/>
      <c r="E540" s="27">
        <v>0</v>
      </c>
      <c r="F540" s="27">
        <v>0</v>
      </c>
      <c r="H540" s="27">
        <v>24.95</v>
      </c>
      <c r="J540" s="27">
        <v>-24.95</v>
      </c>
      <c r="K540" s="25">
        <f t="shared" si="9"/>
        <v>-24.95</v>
      </c>
    </row>
    <row r="541" spans="1:11" ht="15.95" customHeight="1" x14ac:dyDescent="0.2">
      <c r="A541" s="156" t="s">
        <v>1615</v>
      </c>
      <c r="B541" s="369" t="s">
        <v>1616</v>
      </c>
      <c r="C541" s="370"/>
      <c r="D541" s="370"/>
      <c r="E541" s="27">
        <v>0</v>
      </c>
      <c r="F541" s="27">
        <v>31691</v>
      </c>
      <c r="H541" s="27">
        <v>31691</v>
      </c>
      <c r="J541" s="27">
        <v>0</v>
      </c>
      <c r="K541" s="25">
        <f t="shared" si="9"/>
        <v>0</v>
      </c>
    </row>
    <row r="542" spans="1:11" ht="15.95" customHeight="1" x14ac:dyDescent="0.2">
      <c r="A542" s="156" t="s">
        <v>915</v>
      </c>
      <c r="B542" s="369" t="s">
        <v>916</v>
      </c>
      <c r="C542" s="370"/>
      <c r="D542" s="370"/>
      <c r="E542" s="27">
        <v>0</v>
      </c>
      <c r="F542" s="27">
        <v>0</v>
      </c>
      <c r="H542" s="27">
        <v>2728.5</v>
      </c>
      <c r="J542" s="27">
        <v>-2728.5</v>
      </c>
      <c r="K542" s="25">
        <f t="shared" si="9"/>
        <v>-2728.5</v>
      </c>
    </row>
    <row r="543" spans="1:11" ht="15.95" customHeight="1" x14ac:dyDescent="0.2">
      <c r="A543" s="156" t="s">
        <v>917</v>
      </c>
      <c r="B543" s="369" t="s">
        <v>918</v>
      </c>
      <c r="C543" s="370"/>
      <c r="D543" s="370"/>
      <c r="E543" s="27">
        <v>0</v>
      </c>
      <c r="F543" s="27">
        <v>1403.34</v>
      </c>
      <c r="H543" s="27">
        <v>1993.2</v>
      </c>
      <c r="J543" s="27">
        <v>-589.86</v>
      </c>
      <c r="K543" s="25">
        <f t="shared" si="9"/>
        <v>-589.86</v>
      </c>
    </row>
    <row r="544" spans="1:11" ht="15.95" customHeight="1" x14ac:dyDescent="0.2">
      <c r="A544" s="156" t="s">
        <v>1543</v>
      </c>
      <c r="B544" s="369" t="s">
        <v>1544</v>
      </c>
      <c r="C544" s="370"/>
      <c r="D544" s="370"/>
      <c r="E544" s="27">
        <v>0</v>
      </c>
      <c r="F544" s="27">
        <v>192.71</v>
      </c>
      <c r="H544" s="27">
        <v>192.71</v>
      </c>
      <c r="J544" s="27">
        <v>0</v>
      </c>
      <c r="K544" s="25">
        <f t="shared" si="9"/>
        <v>0</v>
      </c>
    </row>
    <row r="545" spans="1:11" ht="27.95" customHeight="1" x14ac:dyDescent="0.2">
      <c r="A545" s="156" t="s">
        <v>919</v>
      </c>
      <c r="B545" s="369" t="s">
        <v>920</v>
      </c>
      <c r="C545" s="370"/>
      <c r="D545" s="370"/>
      <c r="E545" s="27">
        <v>0</v>
      </c>
      <c r="F545" s="27">
        <v>74520.539999999994</v>
      </c>
      <c r="H545" s="27">
        <v>372602.69</v>
      </c>
      <c r="J545" s="27">
        <v>-298082.15000000002</v>
      </c>
      <c r="K545" s="25">
        <f t="shared" si="9"/>
        <v>-298082.15000000002</v>
      </c>
    </row>
    <row r="546" spans="1:11" ht="15.95" customHeight="1" x14ac:dyDescent="0.2">
      <c r="A546" s="156" t="s">
        <v>1885</v>
      </c>
      <c r="B546" s="369" t="s">
        <v>1886</v>
      </c>
      <c r="C546" s="370"/>
      <c r="D546" s="370"/>
      <c r="E546" s="27">
        <v>0</v>
      </c>
      <c r="F546" s="27">
        <v>0</v>
      </c>
      <c r="H546" s="27">
        <v>1000</v>
      </c>
      <c r="J546" s="27">
        <v>-1000</v>
      </c>
      <c r="K546" s="25">
        <f t="shared" si="9"/>
        <v>-1000</v>
      </c>
    </row>
    <row r="547" spans="1:11" ht="15.95" customHeight="1" x14ac:dyDescent="0.2">
      <c r="A547" s="156" t="s">
        <v>924</v>
      </c>
      <c r="B547" s="369" t="s">
        <v>925</v>
      </c>
      <c r="C547" s="370"/>
      <c r="D547" s="370"/>
      <c r="E547" s="27">
        <v>-614118.05000000005</v>
      </c>
      <c r="F547" s="27">
        <v>1036863.4</v>
      </c>
      <c r="H547" s="27">
        <v>644279.69999999995</v>
      </c>
      <c r="J547" s="27">
        <v>-221534.35</v>
      </c>
      <c r="K547" s="25">
        <f t="shared" si="9"/>
        <v>392583.70000000007</v>
      </c>
    </row>
    <row r="548" spans="1:11" ht="15.95" customHeight="1" x14ac:dyDescent="0.2">
      <c r="A548" s="156">
        <v>2170103</v>
      </c>
      <c r="B548" s="369" t="s">
        <v>926</v>
      </c>
      <c r="C548" s="370"/>
      <c r="D548" s="370"/>
      <c r="E548" s="27">
        <v>-2074158.23</v>
      </c>
      <c r="F548" s="27">
        <v>0</v>
      </c>
      <c r="H548" s="27">
        <v>0</v>
      </c>
      <c r="J548" s="27">
        <v>-2074158.23</v>
      </c>
      <c r="K548" s="25">
        <f t="shared" si="9"/>
        <v>0</v>
      </c>
    </row>
    <row r="549" spans="1:11" ht="15.95" customHeight="1" x14ac:dyDescent="0.2">
      <c r="A549" s="156" t="s">
        <v>927</v>
      </c>
      <c r="B549" s="369" t="s">
        <v>928</v>
      </c>
      <c r="C549" s="370"/>
      <c r="D549" s="370"/>
      <c r="E549" s="27">
        <v>-130924.65</v>
      </c>
      <c r="F549" s="27">
        <v>0</v>
      </c>
      <c r="H549" s="27">
        <v>0</v>
      </c>
      <c r="J549" s="27">
        <v>-130924.65</v>
      </c>
      <c r="K549" s="25">
        <f t="shared" si="9"/>
        <v>0</v>
      </c>
    </row>
    <row r="550" spans="1:11" ht="15.95" customHeight="1" x14ac:dyDescent="0.2">
      <c r="A550" s="156" t="s">
        <v>929</v>
      </c>
      <c r="B550" s="369" t="s">
        <v>930</v>
      </c>
      <c r="C550" s="370"/>
      <c r="D550" s="370"/>
      <c r="E550" s="27">
        <v>-226.75</v>
      </c>
      <c r="F550" s="27">
        <v>0</v>
      </c>
      <c r="H550" s="27">
        <v>0</v>
      </c>
      <c r="J550" s="27">
        <v>-226.75</v>
      </c>
      <c r="K550" s="25">
        <f t="shared" si="9"/>
        <v>0</v>
      </c>
    </row>
    <row r="551" spans="1:11" ht="15.95" customHeight="1" x14ac:dyDescent="0.2">
      <c r="A551" s="156" t="s">
        <v>931</v>
      </c>
      <c r="B551" s="369" t="s">
        <v>932</v>
      </c>
      <c r="C551" s="370"/>
      <c r="D551" s="370"/>
      <c r="E551" s="27">
        <v>-1794.57</v>
      </c>
      <c r="F551" s="27">
        <v>0</v>
      </c>
      <c r="H551" s="27">
        <v>0</v>
      </c>
      <c r="J551" s="27">
        <v>-1794.57</v>
      </c>
      <c r="K551" s="25">
        <f t="shared" si="9"/>
        <v>0</v>
      </c>
    </row>
    <row r="552" spans="1:11" ht="15.95" customHeight="1" x14ac:dyDescent="0.2">
      <c r="A552" s="156" t="s">
        <v>933</v>
      </c>
      <c r="B552" s="369" t="s">
        <v>934</v>
      </c>
      <c r="C552" s="370"/>
      <c r="D552" s="370"/>
      <c r="E552" s="27">
        <v>-47342.879999999997</v>
      </c>
      <c r="F552" s="27">
        <v>0</v>
      </c>
      <c r="H552" s="27">
        <v>0</v>
      </c>
      <c r="J552" s="27">
        <v>-47342.879999999997</v>
      </c>
      <c r="K552" s="25">
        <f t="shared" si="9"/>
        <v>0</v>
      </c>
    </row>
    <row r="553" spans="1:11" ht="15.95" customHeight="1" x14ac:dyDescent="0.2">
      <c r="A553" s="156" t="s">
        <v>935</v>
      </c>
      <c r="B553" s="369" t="s">
        <v>936</v>
      </c>
      <c r="C553" s="370"/>
      <c r="D553" s="370"/>
      <c r="E553" s="27">
        <v>-2247.4699999999998</v>
      </c>
      <c r="F553" s="27">
        <v>0</v>
      </c>
      <c r="H553" s="27">
        <v>0</v>
      </c>
      <c r="J553" s="27">
        <v>-2247.4699999999998</v>
      </c>
      <c r="K553" s="25">
        <f t="shared" si="9"/>
        <v>0</v>
      </c>
    </row>
    <row r="554" spans="1:11" ht="15.95" customHeight="1" x14ac:dyDescent="0.2">
      <c r="A554" s="156" t="s">
        <v>937</v>
      </c>
      <c r="B554" s="369" t="s">
        <v>938</v>
      </c>
      <c r="C554" s="370"/>
      <c r="D554" s="370"/>
      <c r="E554" s="27">
        <v>-1269.3900000000001</v>
      </c>
      <c r="F554" s="27">
        <v>0</v>
      </c>
      <c r="H554" s="27">
        <v>0</v>
      </c>
      <c r="J554" s="27">
        <v>-1269.3900000000001</v>
      </c>
      <c r="K554" s="25">
        <f t="shared" si="9"/>
        <v>0</v>
      </c>
    </row>
    <row r="555" spans="1:11" ht="15.95" customHeight="1" x14ac:dyDescent="0.2">
      <c r="A555" s="156" t="s">
        <v>939</v>
      </c>
      <c r="B555" s="369" t="s">
        <v>940</v>
      </c>
      <c r="C555" s="370"/>
      <c r="D555" s="370"/>
      <c r="E555" s="27">
        <v>-33360.89</v>
      </c>
      <c r="F555" s="27">
        <v>0</v>
      </c>
      <c r="H555" s="27">
        <v>0</v>
      </c>
      <c r="J555" s="27">
        <v>-33360.89</v>
      </c>
      <c r="K555" s="25">
        <f t="shared" si="9"/>
        <v>0</v>
      </c>
    </row>
    <row r="556" spans="1:11" ht="15.95" customHeight="1" x14ac:dyDescent="0.2">
      <c r="A556" s="156" t="s">
        <v>941</v>
      </c>
      <c r="B556" s="369" t="s">
        <v>942</v>
      </c>
      <c r="C556" s="370"/>
      <c r="D556" s="370"/>
      <c r="E556" s="27">
        <v>-1242633.32</v>
      </c>
      <c r="F556" s="27">
        <v>0</v>
      </c>
      <c r="H556" s="27">
        <v>0</v>
      </c>
      <c r="J556" s="27">
        <v>-1242633.32</v>
      </c>
      <c r="K556" s="25">
        <f t="shared" si="9"/>
        <v>0</v>
      </c>
    </row>
    <row r="557" spans="1:11" ht="15.95" customHeight="1" x14ac:dyDescent="0.2">
      <c r="A557" s="156" t="s">
        <v>943</v>
      </c>
      <c r="B557" s="369" t="s">
        <v>944</v>
      </c>
      <c r="C557" s="370"/>
      <c r="D557" s="370"/>
      <c r="E557" s="27">
        <v>-1390.47</v>
      </c>
      <c r="F557" s="27">
        <v>0</v>
      </c>
      <c r="H557" s="27">
        <v>0</v>
      </c>
      <c r="J557" s="27">
        <v>-1390.47</v>
      </c>
      <c r="K557" s="25">
        <f t="shared" si="9"/>
        <v>0</v>
      </c>
    </row>
    <row r="558" spans="1:11" ht="15.95" customHeight="1" x14ac:dyDescent="0.2">
      <c r="A558" s="156" t="s">
        <v>945</v>
      </c>
      <c r="B558" s="369" t="s">
        <v>946</v>
      </c>
      <c r="C558" s="370"/>
      <c r="D558" s="370"/>
      <c r="E558" s="27">
        <v>-120520.27</v>
      </c>
      <c r="F558" s="27">
        <v>0</v>
      </c>
      <c r="H558" s="27">
        <v>0</v>
      </c>
      <c r="J558" s="27">
        <v>-120520.27</v>
      </c>
      <c r="K558" s="25">
        <f t="shared" si="9"/>
        <v>0</v>
      </c>
    </row>
    <row r="559" spans="1:11" ht="15.95" customHeight="1" x14ac:dyDescent="0.2">
      <c r="A559" s="156" t="s">
        <v>947</v>
      </c>
      <c r="B559" s="369" t="s">
        <v>948</v>
      </c>
      <c r="C559" s="370"/>
      <c r="D559" s="370"/>
      <c r="E559" s="27">
        <v>-328.74</v>
      </c>
      <c r="F559" s="27">
        <v>0</v>
      </c>
      <c r="H559" s="27">
        <v>0</v>
      </c>
      <c r="J559" s="27">
        <v>-328.74</v>
      </c>
      <c r="K559" s="25">
        <f t="shared" si="9"/>
        <v>0</v>
      </c>
    </row>
    <row r="560" spans="1:11" ht="15.95" customHeight="1" x14ac:dyDescent="0.2">
      <c r="A560" s="156" t="s">
        <v>949</v>
      </c>
      <c r="B560" s="369" t="s">
        <v>950</v>
      </c>
      <c r="C560" s="370"/>
      <c r="D560" s="370"/>
      <c r="E560" s="27">
        <v>-432.02</v>
      </c>
      <c r="F560" s="27">
        <v>0</v>
      </c>
      <c r="H560" s="27">
        <v>0</v>
      </c>
      <c r="J560" s="27">
        <v>-432.02</v>
      </c>
      <c r="K560" s="25">
        <f t="shared" si="9"/>
        <v>0</v>
      </c>
    </row>
    <row r="561" spans="1:11" ht="15.95" customHeight="1" x14ac:dyDescent="0.2">
      <c r="A561" s="156" t="s">
        <v>951</v>
      </c>
      <c r="B561" s="369" t="s">
        <v>952</v>
      </c>
      <c r="C561" s="370"/>
      <c r="D561" s="370"/>
      <c r="E561" s="27">
        <v>-107.73</v>
      </c>
      <c r="F561" s="27">
        <v>0</v>
      </c>
      <c r="H561" s="27">
        <v>0</v>
      </c>
      <c r="J561" s="27">
        <v>-107.73</v>
      </c>
      <c r="K561" s="25">
        <f t="shared" si="9"/>
        <v>0</v>
      </c>
    </row>
    <row r="562" spans="1:11" ht="15.95" customHeight="1" x14ac:dyDescent="0.2">
      <c r="A562" s="156" t="s">
        <v>953</v>
      </c>
      <c r="B562" s="369" t="s">
        <v>954</v>
      </c>
      <c r="C562" s="370"/>
      <c r="D562" s="370"/>
      <c r="E562" s="27">
        <v>-514.91999999999996</v>
      </c>
      <c r="F562" s="27">
        <v>0</v>
      </c>
      <c r="H562" s="27">
        <v>0</v>
      </c>
      <c r="J562" s="27">
        <v>-514.91999999999996</v>
      </c>
      <c r="K562" s="25">
        <f t="shared" si="9"/>
        <v>0</v>
      </c>
    </row>
    <row r="563" spans="1:11" ht="15.95" customHeight="1" x14ac:dyDescent="0.2">
      <c r="A563" s="156" t="s">
        <v>955</v>
      </c>
      <c r="B563" s="369" t="s">
        <v>956</v>
      </c>
      <c r="C563" s="370"/>
      <c r="D563" s="370"/>
      <c r="E563" s="27">
        <v>-18892.57</v>
      </c>
      <c r="F563" s="27">
        <v>0</v>
      </c>
      <c r="H563" s="27">
        <v>0</v>
      </c>
      <c r="J563" s="27">
        <v>-18892.57</v>
      </c>
      <c r="K563" s="25">
        <f t="shared" si="9"/>
        <v>0</v>
      </c>
    </row>
    <row r="564" spans="1:11" ht="15.95" customHeight="1" x14ac:dyDescent="0.2">
      <c r="A564" s="156" t="s">
        <v>957</v>
      </c>
      <c r="B564" s="369" t="s">
        <v>958</v>
      </c>
      <c r="C564" s="370"/>
      <c r="D564" s="370"/>
      <c r="E564" s="27">
        <v>-2092.9</v>
      </c>
      <c r="F564" s="27">
        <v>0</v>
      </c>
      <c r="H564" s="27">
        <v>0</v>
      </c>
      <c r="J564" s="27">
        <v>-2092.9</v>
      </c>
      <c r="K564" s="25">
        <f t="shared" si="9"/>
        <v>0</v>
      </c>
    </row>
    <row r="565" spans="1:11" ht="15.95" customHeight="1" x14ac:dyDescent="0.2">
      <c r="A565" s="156" t="s">
        <v>959</v>
      </c>
      <c r="B565" s="369" t="s">
        <v>960</v>
      </c>
      <c r="C565" s="370"/>
      <c r="D565" s="370"/>
      <c r="E565" s="27">
        <v>-198.92</v>
      </c>
      <c r="F565" s="27">
        <v>0</v>
      </c>
      <c r="H565" s="27">
        <v>0</v>
      </c>
      <c r="J565" s="27">
        <v>-198.92</v>
      </c>
      <c r="K565" s="25">
        <f t="shared" si="9"/>
        <v>0</v>
      </c>
    </row>
    <row r="566" spans="1:11" ht="15.95" customHeight="1" x14ac:dyDescent="0.2">
      <c r="A566" s="156" t="s">
        <v>961</v>
      </c>
      <c r="B566" s="369" t="s">
        <v>962</v>
      </c>
      <c r="C566" s="370"/>
      <c r="D566" s="370"/>
      <c r="E566" s="27">
        <v>-631.79999999999995</v>
      </c>
      <c r="F566" s="27">
        <v>0</v>
      </c>
      <c r="H566" s="27">
        <v>0</v>
      </c>
      <c r="J566" s="27">
        <v>-631.79999999999995</v>
      </c>
      <c r="K566" s="25">
        <f t="shared" si="9"/>
        <v>0</v>
      </c>
    </row>
    <row r="567" spans="1:11" ht="15.95" customHeight="1" x14ac:dyDescent="0.2">
      <c r="A567" s="156" t="s">
        <v>963</v>
      </c>
      <c r="B567" s="369" t="s">
        <v>964</v>
      </c>
      <c r="C567" s="370"/>
      <c r="D567" s="370"/>
      <c r="E567" s="27">
        <v>-11.83</v>
      </c>
      <c r="F567" s="27">
        <v>0</v>
      </c>
      <c r="H567" s="27">
        <v>0</v>
      </c>
      <c r="J567" s="27">
        <v>-11.83</v>
      </c>
      <c r="K567" s="25">
        <f t="shared" si="9"/>
        <v>0</v>
      </c>
    </row>
    <row r="568" spans="1:11" ht="15.95" customHeight="1" x14ac:dyDescent="0.2">
      <c r="A568" s="156" t="s">
        <v>965</v>
      </c>
      <c r="B568" s="369" t="s">
        <v>966</v>
      </c>
      <c r="C568" s="370"/>
      <c r="D568" s="370"/>
      <c r="E568" s="27">
        <v>-1312.41</v>
      </c>
      <c r="F568" s="27">
        <v>0</v>
      </c>
      <c r="H568" s="27">
        <v>0</v>
      </c>
      <c r="J568" s="27">
        <v>-1312.41</v>
      </c>
      <c r="K568" s="25">
        <f t="shared" si="9"/>
        <v>0</v>
      </c>
    </row>
    <row r="569" spans="1:11" ht="15.95" customHeight="1" x14ac:dyDescent="0.2">
      <c r="A569" s="156" t="s">
        <v>967</v>
      </c>
      <c r="B569" s="369" t="s">
        <v>968</v>
      </c>
      <c r="C569" s="370"/>
      <c r="D569" s="370"/>
      <c r="E569" s="27">
        <v>-334.96</v>
      </c>
      <c r="F569" s="27">
        <v>0</v>
      </c>
      <c r="H569" s="27">
        <v>0</v>
      </c>
      <c r="J569" s="27">
        <v>-334.96</v>
      </c>
      <c r="K569" s="25">
        <f t="shared" si="9"/>
        <v>0</v>
      </c>
    </row>
    <row r="570" spans="1:11" ht="15.95" customHeight="1" x14ac:dyDescent="0.2">
      <c r="A570" s="156" t="s">
        <v>969</v>
      </c>
      <c r="B570" s="369" t="s">
        <v>970</v>
      </c>
      <c r="C570" s="370"/>
      <c r="D570" s="370"/>
      <c r="E570" s="27">
        <v>-59.39</v>
      </c>
      <c r="F570" s="27">
        <v>0</v>
      </c>
      <c r="H570" s="27">
        <v>0</v>
      </c>
      <c r="J570" s="27">
        <v>-59.39</v>
      </c>
      <c r="K570" s="25">
        <f t="shared" si="9"/>
        <v>0</v>
      </c>
    </row>
    <row r="571" spans="1:11" ht="15.95" customHeight="1" x14ac:dyDescent="0.2">
      <c r="A571" s="156" t="s">
        <v>971</v>
      </c>
      <c r="B571" s="369" t="s">
        <v>972</v>
      </c>
      <c r="C571" s="370"/>
      <c r="D571" s="370"/>
      <c r="E571" s="27">
        <v>-1929.28</v>
      </c>
      <c r="F571" s="27">
        <v>0</v>
      </c>
      <c r="H571" s="27">
        <v>0</v>
      </c>
      <c r="J571" s="27">
        <v>-1929.28</v>
      </c>
      <c r="K571" s="25">
        <f t="shared" si="9"/>
        <v>0</v>
      </c>
    </row>
    <row r="572" spans="1:11" ht="15.95" customHeight="1" x14ac:dyDescent="0.2">
      <c r="A572" s="156" t="s">
        <v>973</v>
      </c>
      <c r="B572" s="369" t="s">
        <v>974</v>
      </c>
      <c r="C572" s="370"/>
      <c r="D572" s="370"/>
      <c r="E572" s="27">
        <v>-465600.1</v>
      </c>
      <c r="F572" s="27">
        <v>0</v>
      </c>
      <c r="H572" s="27">
        <v>0</v>
      </c>
      <c r="J572" s="27">
        <v>-465600.1</v>
      </c>
      <c r="K572" s="25">
        <f t="shared" si="9"/>
        <v>0</v>
      </c>
    </row>
    <row r="573" spans="1:11" ht="15.95" customHeight="1" x14ac:dyDescent="0.2">
      <c r="A573" s="156">
        <v>2170104</v>
      </c>
      <c r="B573" s="369" t="s">
        <v>975</v>
      </c>
      <c r="C573" s="370"/>
      <c r="D573" s="370"/>
      <c r="E573" s="27">
        <v>-710988.14</v>
      </c>
      <c r="F573" s="27">
        <v>7159.12</v>
      </c>
      <c r="H573" s="27">
        <v>8962.8700000000008</v>
      </c>
      <c r="J573" s="27">
        <v>-712791.89</v>
      </c>
      <c r="K573" s="25">
        <f t="shared" si="9"/>
        <v>-1803.75</v>
      </c>
    </row>
    <row r="574" spans="1:11" ht="15.95" customHeight="1" x14ac:dyDescent="0.2">
      <c r="A574" s="156" t="s">
        <v>976</v>
      </c>
      <c r="B574" s="369" t="s">
        <v>977</v>
      </c>
      <c r="C574" s="370"/>
      <c r="D574" s="370"/>
      <c r="E574" s="27">
        <v>-849.06</v>
      </c>
      <c r="F574" s="27">
        <v>0</v>
      </c>
      <c r="H574" s="27">
        <v>0</v>
      </c>
      <c r="J574" s="27">
        <v>-849.06</v>
      </c>
      <c r="K574" s="25">
        <f t="shared" si="9"/>
        <v>0</v>
      </c>
    </row>
    <row r="575" spans="1:11" ht="15.95" customHeight="1" x14ac:dyDescent="0.2">
      <c r="A575" s="156" t="s">
        <v>978</v>
      </c>
      <c r="B575" s="369" t="s">
        <v>979</v>
      </c>
      <c r="C575" s="370"/>
      <c r="D575" s="370"/>
      <c r="E575" s="27">
        <v>-27781.55</v>
      </c>
      <c r="F575" s="27">
        <v>0</v>
      </c>
      <c r="H575" s="27">
        <v>0</v>
      </c>
      <c r="J575" s="27">
        <v>-27781.55</v>
      </c>
      <c r="K575" s="25">
        <f t="shared" si="9"/>
        <v>0</v>
      </c>
    </row>
    <row r="576" spans="1:11" ht="15.95" customHeight="1" x14ac:dyDescent="0.2">
      <c r="A576" s="156" t="s">
        <v>980</v>
      </c>
      <c r="B576" s="369" t="s">
        <v>981</v>
      </c>
      <c r="C576" s="370"/>
      <c r="D576" s="370"/>
      <c r="E576" s="27">
        <v>-5267.08</v>
      </c>
      <c r="F576" s="27">
        <v>0</v>
      </c>
      <c r="H576" s="27">
        <v>927.94</v>
      </c>
      <c r="J576" s="27">
        <v>-6195.02</v>
      </c>
      <c r="K576" s="25">
        <f t="shared" si="9"/>
        <v>-927.94000000000051</v>
      </c>
    </row>
    <row r="577" spans="1:11" ht="15.95" customHeight="1" x14ac:dyDescent="0.2">
      <c r="A577" s="156" t="s">
        <v>982</v>
      </c>
      <c r="B577" s="369" t="s">
        <v>983</v>
      </c>
      <c r="C577" s="370"/>
      <c r="D577" s="370"/>
      <c r="E577" s="27">
        <v>-63.22</v>
      </c>
      <c r="F577" s="27">
        <v>0</v>
      </c>
      <c r="H577" s="27">
        <v>0</v>
      </c>
      <c r="J577" s="27">
        <v>-63.22</v>
      </c>
      <c r="K577" s="25">
        <f t="shared" si="9"/>
        <v>0</v>
      </c>
    </row>
    <row r="578" spans="1:11" ht="15.95" customHeight="1" x14ac:dyDescent="0.2">
      <c r="A578" s="156" t="s">
        <v>984</v>
      </c>
      <c r="B578" s="369" t="s">
        <v>985</v>
      </c>
      <c r="C578" s="370"/>
      <c r="D578" s="370"/>
      <c r="E578" s="27">
        <v>-1989.74</v>
      </c>
      <c r="F578" s="27">
        <v>927.94</v>
      </c>
      <c r="H578" s="27">
        <v>0</v>
      </c>
      <c r="J578" s="27">
        <v>-1061.8</v>
      </c>
      <c r="K578" s="25">
        <f t="shared" si="9"/>
        <v>927.94</v>
      </c>
    </row>
    <row r="579" spans="1:11" ht="15.95" customHeight="1" x14ac:dyDescent="0.2">
      <c r="A579" s="156" t="s">
        <v>986</v>
      </c>
      <c r="B579" s="369" t="s">
        <v>987</v>
      </c>
      <c r="C579" s="370"/>
      <c r="D579" s="370"/>
      <c r="E579" s="27">
        <v>-134339.62</v>
      </c>
      <c r="F579" s="27">
        <v>0</v>
      </c>
      <c r="H579" s="27">
        <v>0</v>
      </c>
      <c r="J579" s="27">
        <v>-134339.62</v>
      </c>
      <c r="K579" s="25">
        <f t="shared" si="9"/>
        <v>0</v>
      </c>
    </row>
    <row r="580" spans="1:11" ht="15.95" customHeight="1" x14ac:dyDescent="0.2">
      <c r="A580" s="156" t="s">
        <v>988</v>
      </c>
      <c r="B580" s="369" t="s">
        <v>989</v>
      </c>
      <c r="C580" s="370"/>
      <c r="D580" s="370"/>
      <c r="E580" s="27">
        <v>-176.92</v>
      </c>
      <c r="F580" s="27">
        <v>0</v>
      </c>
      <c r="H580" s="27">
        <v>0</v>
      </c>
      <c r="J580" s="27">
        <v>-176.92</v>
      </c>
      <c r="K580" s="25">
        <f t="shared" si="9"/>
        <v>0</v>
      </c>
    </row>
    <row r="581" spans="1:11" ht="15.95" customHeight="1" x14ac:dyDescent="0.2">
      <c r="A581" s="156" t="s">
        <v>990</v>
      </c>
      <c r="B581" s="369" t="s">
        <v>991</v>
      </c>
      <c r="C581" s="370"/>
      <c r="D581" s="370"/>
      <c r="E581" s="27">
        <v>-19700.63</v>
      </c>
      <c r="F581" s="27">
        <v>0</v>
      </c>
      <c r="H581" s="27">
        <v>0</v>
      </c>
      <c r="J581" s="27">
        <v>-19700.63</v>
      </c>
      <c r="K581" s="25">
        <f t="shared" si="9"/>
        <v>0</v>
      </c>
    </row>
    <row r="582" spans="1:11" ht="15.95" customHeight="1" x14ac:dyDescent="0.2">
      <c r="A582" s="156" t="s">
        <v>992</v>
      </c>
      <c r="B582" s="369" t="s">
        <v>993</v>
      </c>
      <c r="C582" s="370"/>
      <c r="D582" s="370"/>
      <c r="E582" s="27">
        <v>-201984.8</v>
      </c>
      <c r="F582" s="27">
        <v>0</v>
      </c>
      <c r="H582" s="27">
        <v>0</v>
      </c>
      <c r="J582" s="27">
        <v>-201984.8</v>
      </c>
      <c r="K582" s="25">
        <f t="shared" si="9"/>
        <v>0</v>
      </c>
    </row>
    <row r="583" spans="1:11" ht="15.95" customHeight="1" x14ac:dyDescent="0.2">
      <c r="A583" s="156" t="s">
        <v>994</v>
      </c>
      <c r="B583" s="369" t="s">
        <v>995</v>
      </c>
      <c r="C583" s="370"/>
      <c r="D583" s="370"/>
      <c r="E583" s="27">
        <v>-447.8</v>
      </c>
      <c r="F583" s="27">
        <v>0</v>
      </c>
      <c r="H583" s="27">
        <v>0</v>
      </c>
      <c r="J583" s="27">
        <v>-447.8</v>
      </c>
      <c r="K583" s="25">
        <f t="shared" si="9"/>
        <v>0</v>
      </c>
    </row>
    <row r="584" spans="1:11" ht="15.95" customHeight="1" x14ac:dyDescent="0.2">
      <c r="A584" s="156" t="s">
        <v>996</v>
      </c>
      <c r="B584" s="369" t="s">
        <v>997</v>
      </c>
      <c r="C584" s="370"/>
      <c r="D584" s="370"/>
      <c r="E584" s="27">
        <v>-68.72</v>
      </c>
      <c r="F584" s="27">
        <v>0</v>
      </c>
      <c r="H584" s="27">
        <v>0</v>
      </c>
      <c r="J584" s="27">
        <v>-68.72</v>
      </c>
      <c r="K584" s="25">
        <f t="shared" si="9"/>
        <v>0</v>
      </c>
    </row>
    <row r="585" spans="1:11" ht="15.95" customHeight="1" x14ac:dyDescent="0.2">
      <c r="A585" s="156" t="s">
        <v>998</v>
      </c>
      <c r="B585" s="369" t="s">
        <v>999</v>
      </c>
      <c r="C585" s="370"/>
      <c r="D585" s="370"/>
      <c r="E585" s="27">
        <v>-1189.55</v>
      </c>
      <c r="F585" s="27">
        <v>0</v>
      </c>
      <c r="H585" s="27">
        <v>0</v>
      </c>
      <c r="J585" s="27">
        <v>-1189.55</v>
      </c>
      <c r="K585" s="25">
        <f t="shared" si="9"/>
        <v>0</v>
      </c>
    </row>
    <row r="586" spans="1:11" ht="15.95" customHeight="1" x14ac:dyDescent="0.2">
      <c r="A586" s="156" t="s">
        <v>1000</v>
      </c>
      <c r="B586" s="369" t="s">
        <v>1001</v>
      </c>
      <c r="C586" s="370"/>
      <c r="D586" s="370"/>
      <c r="E586" s="27">
        <v>-774.09</v>
      </c>
      <c r="F586" s="27">
        <v>0</v>
      </c>
      <c r="H586" s="27">
        <v>0</v>
      </c>
      <c r="J586" s="27">
        <v>-774.09</v>
      </c>
      <c r="K586" s="25">
        <f t="shared" si="9"/>
        <v>0</v>
      </c>
    </row>
    <row r="587" spans="1:11" ht="15.95" customHeight="1" x14ac:dyDescent="0.2">
      <c r="A587" s="156" t="s">
        <v>1002</v>
      </c>
      <c r="B587" s="369" t="s">
        <v>1003</v>
      </c>
      <c r="C587" s="370"/>
      <c r="D587" s="370"/>
      <c r="E587" s="27">
        <v>-360</v>
      </c>
      <c r="F587" s="27">
        <v>0</v>
      </c>
      <c r="H587" s="27">
        <v>0</v>
      </c>
      <c r="J587" s="27">
        <v>-360</v>
      </c>
      <c r="K587" s="25">
        <f t="shared" ref="K587:K644" si="10">J587-E587</f>
        <v>0</v>
      </c>
    </row>
    <row r="588" spans="1:11" ht="15.95" customHeight="1" x14ac:dyDescent="0.2">
      <c r="A588" s="156" t="s">
        <v>1004</v>
      </c>
      <c r="B588" s="369" t="s">
        <v>1005</v>
      </c>
      <c r="C588" s="370"/>
      <c r="D588" s="370"/>
      <c r="E588" s="27">
        <v>-2180.19</v>
      </c>
      <c r="F588" s="27">
        <v>0</v>
      </c>
      <c r="H588" s="27">
        <v>0</v>
      </c>
      <c r="J588" s="27">
        <v>-2180.19</v>
      </c>
      <c r="K588" s="25">
        <f t="shared" si="10"/>
        <v>0</v>
      </c>
    </row>
    <row r="589" spans="1:11" ht="15.95" customHeight="1" x14ac:dyDescent="0.2">
      <c r="A589" s="156" t="s">
        <v>1006</v>
      </c>
      <c r="B589" s="369" t="s">
        <v>1007</v>
      </c>
      <c r="C589" s="370"/>
      <c r="D589" s="370"/>
      <c r="E589" s="27">
        <v>-29612.55</v>
      </c>
      <c r="F589" s="27">
        <v>6231.18</v>
      </c>
      <c r="H589" s="27">
        <v>0</v>
      </c>
      <c r="J589" s="27">
        <v>-23381.37</v>
      </c>
      <c r="K589" s="25">
        <f t="shared" si="10"/>
        <v>6231.18</v>
      </c>
    </row>
    <row r="590" spans="1:11" ht="15.95" customHeight="1" x14ac:dyDescent="0.2">
      <c r="A590" s="156" t="s">
        <v>1008</v>
      </c>
      <c r="B590" s="369" t="s">
        <v>1009</v>
      </c>
      <c r="C590" s="370"/>
      <c r="D590" s="370"/>
      <c r="E590" s="27">
        <v>-36.67</v>
      </c>
      <c r="F590" s="27">
        <v>0</v>
      </c>
      <c r="H590" s="27">
        <v>0</v>
      </c>
      <c r="J590" s="27">
        <v>-36.67</v>
      </c>
      <c r="K590" s="25">
        <f t="shared" si="10"/>
        <v>0</v>
      </c>
    </row>
    <row r="591" spans="1:11" ht="15.95" customHeight="1" x14ac:dyDescent="0.2">
      <c r="A591" s="156" t="s">
        <v>1010</v>
      </c>
      <c r="B591" s="369" t="s">
        <v>1011</v>
      </c>
      <c r="C591" s="370"/>
      <c r="D591" s="370"/>
      <c r="E591" s="27">
        <v>-130436.47</v>
      </c>
      <c r="F591" s="27">
        <v>0</v>
      </c>
      <c r="H591" s="27">
        <v>0</v>
      </c>
      <c r="J591" s="27">
        <v>-130436.47</v>
      </c>
      <c r="K591" s="25">
        <f t="shared" si="10"/>
        <v>0</v>
      </c>
    </row>
    <row r="592" spans="1:11" ht="15.95" customHeight="1" x14ac:dyDescent="0.2">
      <c r="A592" s="156" t="s">
        <v>1012</v>
      </c>
      <c r="B592" s="369" t="s">
        <v>1013</v>
      </c>
      <c r="C592" s="370"/>
      <c r="D592" s="370"/>
      <c r="E592" s="27">
        <v>-90761.279999999999</v>
      </c>
      <c r="F592" s="27">
        <v>0</v>
      </c>
      <c r="H592" s="27">
        <v>0</v>
      </c>
      <c r="J592" s="27">
        <v>-90761.279999999999</v>
      </c>
      <c r="K592" s="25">
        <f t="shared" si="10"/>
        <v>0</v>
      </c>
    </row>
    <row r="593" spans="1:11" ht="15.95" customHeight="1" x14ac:dyDescent="0.2">
      <c r="A593" s="156" t="s">
        <v>1014</v>
      </c>
      <c r="B593" s="369" t="s">
        <v>1015</v>
      </c>
      <c r="C593" s="370"/>
      <c r="D593" s="370"/>
      <c r="E593" s="27">
        <v>-8820.4599999999991</v>
      </c>
      <c r="F593" s="27">
        <v>0</v>
      </c>
      <c r="H593" s="27">
        <v>0</v>
      </c>
      <c r="J593" s="27">
        <v>-8820.4599999999991</v>
      </c>
      <c r="K593" s="25">
        <f t="shared" si="10"/>
        <v>0</v>
      </c>
    </row>
    <row r="594" spans="1:11" ht="15.95" customHeight="1" x14ac:dyDescent="0.2">
      <c r="A594" s="156" t="s">
        <v>1016</v>
      </c>
      <c r="B594" s="369" t="s">
        <v>1017</v>
      </c>
      <c r="C594" s="370"/>
      <c r="D594" s="370"/>
      <c r="E594" s="27">
        <v>-670.72</v>
      </c>
      <c r="F594" s="27">
        <v>0</v>
      </c>
      <c r="H594" s="27">
        <v>0</v>
      </c>
      <c r="J594" s="27">
        <v>-670.72</v>
      </c>
      <c r="K594" s="25">
        <f t="shared" si="10"/>
        <v>0</v>
      </c>
    </row>
    <row r="595" spans="1:11" ht="15.95" customHeight="1" x14ac:dyDescent="0.2">
      <c r="A595" s="156" t="s">
        <v>1018</v>
      </c>
      <c r="B595" s="369" t="s">
        <v>1019</v>
      </c>
      <c r="C595" s="370"/>
      <c r="D595" s="370"/>
      <c r="E595" s="27">
        <v>-2081.5100000000002</v>
      </c>
      <c r="F595" s="27">
        <v>0</v>
      </c>
      <c r="H595" s="27">
        <v>1139.6400000000001</v>
      </c>
      <c r="J595" s="27">
        <v>-3221.15</v>
      </c>
      <c r="K595" s="25">
        <f t="shared" si="10"/>
        <v>-1139.6399999999999</v>
      </c>
    </row>
    <row r="596" spans="1:11" ht="15.95" customHeight="1" x14ac:dyDescent="0.2">
      <c r="A596" s="156" t="s">
        <v>1020</v>
      </c>
      <c r="B596" s="369" t="s">
        <v>1021</v>
      </c>
      <c r="C596" s="370"/>
      <c r="D596" s="370"/>
      <c r="E596" s="27">
        <v>-200.03</v>
      </c>
      <c r="F596" s="27">
        <v>0</v>
      </c>
      <c r="H596" s="27">
        <v>0</v>
      </c>
      <c r="J596" s="27">
        <v>-200.03</v>
      </c>
      <c r="K596" s="25">
        <f t="shared" si="10"/>
        <v>0</v>
      </c>
    </row>
    <row r="597" spans="1:11" ht="15.95" customHeight="1" x14ac:dyDescent="0.2">
      <c r="A597" s="156" t="s">
        <v>1022</v>
      </c>
      <c r="B597" s="369" t="s">
        <v>1023</v>
      </c>
      <c r="C597" s="370"/>
      <c r="D597" s="370"/>
      <c r="E597" s="27">
        <v>-98.61</v>
      </c>
      <c r="F597" s="27">
        <v>0</v>
      </c>
      <c r="H597" s="27">
        <v>240.64</v>
      </c>
      <c r="J597" s="27">
        <v>-339.25</v>
      </c>
      <c r="K597" s="25">
        <f t="shared" si="10"/>
        <v>-240.64</v>
      </c>
    </row>
    <row r="598" spans="1:11" ht="15.95" customHeight="1" x14ac:dyDescent="0.2">
      <c r="A598" s="156" t="s">
        <v>1024</v>
      </c>
      <c r="B598" s="369" t="s">
        <v>1025</v>
      </c>
      <c r="C598" s="370"/>
      <c r="D598" s="370"/>
      <c r="E598" s="27">
        <v>-200.03</v>
      </c>
      <c r="F598" s="27">
        <v>0</v>
      </c>
      <c r="H598" s="27">
        <v>0</v>
      </c>
      <c r="J598" s="27">
        <v>-200.03</v>
      </c>
      <c r="K598" s="25">
        <f t="shared" si="10"/>
        <v>0</v>
      </c>
    </row>
    <row r="599" spans="1:11" ht="27.95" customHeight="1" x14ac:dyDescent="0.2">
      <c r="A599" s="156" t="s">
        <v>1026</v>
      </c>
      <c r="B599" s="369" t="s">
        <v>1027</v>
      </c>
      <c r="C599" s="370"/>
      <c r="D599" s="370"/>
      <c r="E599" s="27">
        <v>-508.19</v>
      </c>
      <c r="F599" s="27">
        <v>0</v>
      </c>
      <c r="H599" s="27">
        <v>0</v>
      </c>
      <c r="J599" s="27">
        <v>-508.19</v>
      </c>
      <c r="K599" s="25">
        <f t="shared" si="10"/>
        <v>0</v>
      </c>
    </row>
    <row r="600" spans="1:11" ht="15.95" customHeight="1" x14ac:dyDescent="0.2">
      <c r="A600" s="156" t="s">
        <v>1028</v>
      </c>
      <c r="B600" s="369" t="s">
        <v>1029</v>
      </c>
      <c r="C600" s="370"/>
      <c r="D600" s="370"/>
      <c r="E600" s="27">
        <v>-30882.47</v>
      </c>
      <c r="F600" s="27">
        <v>0</v>
      </c>
      <c r="H600" s="27">
        <v>0</v>
      </c>
      <c r="J600" s="27">
        <v>-30882.47</v>
      </c>
      <c r="K600" s="25">
        <f t="shared" si="10"/>
        <v>0</v>
      </c>
    </row>
    <row r="601" spans="1:11" ht="15.95" customHeight="1" x14ac:dyDescent="0.2">
      <c r="A601" s="156" t="s">
        <v>1030</v>
      </c>
      <c r="B601" s="369" t="s">
        <v>1031</v>
      </c>
      <c r="C601" s="370"/>
      <c r="D601" s="370"/>
      <c r="E601" s="27">
        <v>-2991.81</v>
      </c>
      <c r="F601" s="27">
        <v>0</v>
      </c>
      <c r="H601" s="27">
        <v>0</v>
      </c>
      <c r="J601" s="27">
        <v>-2991.81</v>
      </c>
      <c r="K601" s="25">
        <f t="shared" si="10"/>
        <v>0</v>
      </c>
    </row>
    <row r="602" spans="1:11" ht="15.95" customHeight="1" x14ac:dyDescent="0.2">
      <c r="A602" s="156" t="s">
        <v>1032</v>
      </c>
      <c r="B602" s="369" t="s">
        <v>1033</v>
      </c>
      <c r="C602" s="370"/>
      <c r="D602" s="370"/>
      <c r="E602" s="27">
        <v>-304.25</v>
      </c>
      <c r="F602" s="27">
        <v>0</v>
      </c>
      <c r="H602" s="27">
        <v>281.58</v>
      </c>
      <c r="J602" s="27">
        <v>-585.83000000000004</v>
      </c>
      <c r="K602" s="25">
        <f t="shared" si="10"/>
        <v>-281.58000000000004</v>
      </c>
    </row>
    <row r="603" spans="1:11" ht="15.95" customHeight="1" x14ac:dyDescent="0.2">
      <c r="A603" s="156" t="s">
        <v>1034</v>
      </c>
      <c r="B603" s="369" t="s">
        <v>1035</v>
      </c>
      <c r="C603" s="370"/>
      <c r="D603" s="370"/>
      <c r="E603" s="27">
        <v>-101.42</v>
      </c>
      <c r="F603" s="27">
        <v>0</v>
      </c>
      <c r="H603" s="27">
        <v>141.88999999999999</v>
      </c>
      <c r="J603" s="27">
        <v>-243.31</v>
      </c>
      <c r="K603" s="25">
        <f t="shared" si="10"/>
        <v>-141.88999999999999</v>
      </c>
    </row>
    <row r="604" spans="1:11" ht="15.95" customHeight="1" x14ac:dyDescent="0.2">
      <c r="A604" s="156" t="s">
        <v>1036</v>
      </c>
      <c r="B604" s="369" t="s">
        <v>1037</v>
      </c>
      <c r="C604" s="370"/>
      <c r="D604" s="370"/>
      <c r="E604" s="27">
        <v>-48.41</v>
      </c>
      <c r="F604" s="27">
        <v>0</v>
      </c>
      <c r="H604" s="27">
        <v>0</v>
      </c>
      <c r="J604" s="27">
        <v>-48.41</v>
      </c>
      <c r="K604" s="25">
        <f t="shared" si="10"/>
        <v>0</v>
      </c>
    </row>
    <row r="605" spans="1:11" ht="15.95" customHeight="1" x14ac:dyDescent="0.2">
      <c r="A605" s="156" t="s">
        <v>1038</v>
      </c>
      <c r="B605" s="369" t="s">
        <v>1039</v>
      </c>
      <c r="C605" s="370"/>
      <c r="D605" s="370"/>
      <c r="E605" s="27">
        <v>-16060.29</v>
      </c>
      <c r="F605" s="27">
        <v>0</v>
      </c>
      <c r="H605" s="27">
        <v>0</v>
      </c>
      <c r="J605" s="27">
        <v>-16060.29</v>
      </c>
      <c r="K605" s="25">
        <f t="shared" si="10"/>
        <v>0</v>
      </c>
    </row>
    <row r="606" spans="1:11" ht="15.95" customHeight="1" x14ac:dyDescent="0.2">
      <c r="A606" s="156" t="s">
        <v>1040</v>
      </c>
      <c r="B606" s="369" t="s">
        <v>1041</v>
      </c>
      <c r="C606" s="370"/>
      <c r="D606" s="370"/>
      <c r="E606" s="27">
        <v>0</v>
      </c>
      <c r="F606" s="27">
        <v>0</v>
      </c>
      <c r="H606" s="27">
        <v>6231.18</v>
      </c>
      <c r="J606" s="27">
        <v>-6231.18</v>
      </c>
      <c r="K606" s="25">
        <f t="shared" si="10"/>
        <v>-6231.18</v>
      </c>
    </row>
    <row r="607" spans="1:11" ht="15.95" customHeight="1" x14ac:dyDescent="0.2">
      <c r="A607" s="156">
        <v>218</v>
      </c>
      <c r="B607" s="369" t="s">
        <v>1042</v>
      </c>
      <c r="C607" s="370"/>
      <c r="D607" s="370"/>
      <c r="E607" s="27">
        <v>-1040133.12</v>
      </c>
      <c r="F607" s="27">
        <v>700002.92</v>
      </c>
      <c r="H607" s="27">
        <v>500033.42</v>
      </c>
      <c r="J607" s="27">
        <v>-840163.62</v>
      </c>
      <c r="K607" s="25">
        <f t="shared" si="10"/>
        <v>199969.5</v>
      </c>
    </row>
    <row r="608" spans="1:11" ht="15.95" customHeight="1" x14ac:dyDescent="0.2">
      <c r="A608" s="163">
        <v>21801</v>
      </c>
      <c r="B608" s="371" t="s">
        <v>1043</v>
      </c>
      <c r="C608" s="372"/>
      <c r="D608" s="372"/>
      <c r="E608" s="29">
        <v>111332.6</v>
      </c>
      <c r="F608" s="29">
        <v>2.92</v>
      </c>
      <c r="G608" s="164"/>
      <c r="H608" s="29">
        <v>33.42</v>
      </c>
      <c r="I608" s="164"/>
      <c r="J608" s="29">
        <v>111302.1</v>
      </c>
      <c r="K608" s="31">
        <f t="shared" si="10"/>
        <v>-30.5</v>
      </c>
    </row>
    <row r="609" spans="1:11" ht="15.95" customHeight="1" x14ac:dyDescent="0.2">
      <c r="A609" s="156">
        <v>2180102</v>
      </c>
      <c r="B609" s="369" t="s">
        <v>1044</v>
      </c>
      <c r="C609" s="370"/>
      <c r="D609" s="370"/>
      <c r="E609" s="27">
        <v>-91861.41</v>
      </c>
      <c r="F609" s="27">
        <v>2.92</v>
      </c>
      <c r="H609" s="27">
        <v>13.05</v>
      </c>
      <c r="J609" s="27">
        <v>-91871.54</v>
      </c>
      <c r="K609" s="25">
        <f t="shared" si="10"/>
        <v>-10.129999999990105</v>
      </c>
    </row>
    <row r="610" spans="1:11" ht="15.95" customHeight="1" x14ac:dyDescent="0.2">
      <c r="A610" s="156" t="s">
        <v>1045</v>
      </c>
      <c r="B610" s="369" t="s">
        <v>1046</v>
      </c>
      <c r="C610" s="370"/>
      <c r="D610" s="370"/>
      <c r="E610" s="27">
        <v>-91861.41</v>
      </c>
      <c r="F610" s="27">
        <v>2.92</v>
      </c>
      <c r="H610" s="27">
        <v>13.05</v>
      </c>
      <c r="J610" s="27">
        <v>-91871.54</v>
      </c>
      <c r="K610" s="25">
        <f t="shared" si="10"/>
        <v>-10.129999999990105</v>
      </c>
    </row>
    <row r="611" spans="1:11" ht="15.95" customHeight="1" x14ac:dyDescent="0.2">
      <c r="A611" s="156">
        <v>2180103</v>
      </c>
      <c r="B611" s="369" t="s">
        <v>1047</v>
      </c>
      <c r="C611" s="370"/>
      <c r="D611" s="370"/>
      <c r="E611" s="27">
        <v>203194.01</v>
      </c>
      <c r="F611" s="27">
        <v>0</v>
      </c>
      <c r="H611" s="27">
        <v>20.37</v>
      </c>
      <c r="J611" s="27">
        <v>203173.64</v>
      </c>
      <c r="K611" s="25">
        <f t="shared" si="10"/>
        <v>-20.369999999995343</v>
      </c>
    </row>
    <row r="612" spans="1:11" ht="15.95" customHeight="1" x14ac:dyDescent="0.2">
      <c r="A612" s="156" t="s">
        <v>1048</v>
      </c>
      <c r="B612" s="369" t="s">
        <v>1049</v>
      </c>
      <c r="C612" s="370"/>
      <c r="D612" s="370"/>
      <c r="E612" s="27">
        <v>203194.01</v>
      </c>
      <c r="F612" s="27">
        <v>0</v>
      </c>
      <c r="H612" s="27">
        <v>20.37</v>
      </c>
      <c r="J612" s="27">
        <v>203173.64</v>
      </c>
      <c r="K612" s="25">
        <f t="shared" si="10"/>
        <v>-20.369999999995343</v>
      </c>
    </row>
    <row r="613" spans="1:11" ht="15.95" customHeight="1" x14ac:dyDescent="0.2">
      <c r="A613" s="163">
        <v>21802</v>
      </c>
      <c r="B613" s="371" t="s">
        <v>1050</v>
      </c>
      <c r="C613" s="372"/>
      <c r="D613" s="372"/>
      <c r="E613" s="29">
        <v>-1151465.72</v>
      </c>
      <c r="F613" s="29">
        <v>700000</v>
      </c>
      <c r="G613" s="164"/>
      <c r="H613" s="29">
        <v>500000</v>
      </c>
      <c r="I613" s="164"/>
      <c r="J613" s="29">
        <v>-951465.72</v>
      </c>
      <c r="K613" s="31">
        <f t="shared" si="10"/>
        <v>200000</v>
      </c>
    </row>
    <row r="614" spans="1:11" ht="15.95" customHeight="1" x14ac:dyDescent="0.2">
      <c r="A614" s="156">
        <v>2180201</v>
      </c>
      <c r="B614" s="369" t="s">
        <v>1051</v>
      </c>
      <c r="C614" s="370"/>
      <c r="D614" s="370"/>
      <c r="E614" s="27">
        <v>-633549.69999999995</v>
      </c>
      <c r="F614" s="27">
        <v>700000</v>
      </c>
      <c r="H614" s="27">
        <v>500000</v>
      </c>
      <c r="J614" s="27">
        <v>-433549.7</v>
      </c>
      <c r="K614" s="25">
        <f t="shared" si="10"/>
        <v>199999.99999999994</v>
      </c>
    </row>
    <row r="615" spans="1:11" ht="15.95" customHeight="1" x14ac:dyDescent="0.2">
      <c r="A615" s="156" t="s">
        <v>1052</v>
      </c>
      <c r="B615" s="369" t="s">
        <v>1053</v>
      </c>
      <c r="C615" s="370"/>
      <c r="D615" s="370"/>
      <c r="E615" s="27">
        <v>-633549.69999999995</v>
      </c>
      <c r="F615" s="27">
        <v>700000</v>
      </c>
      <c r="H615" s="27">
        <v>500000</v>
      </c>
      <c r="J615" s="27">
        <v>-433549.7</v>
      </c>
      <c r="K615" s="25">
        <f t="shared" si="10"/>
        <v>199999.99999999994</v>
      </c>
    </row>
    <row r="616" spans="1:11" ht="15.95" customHeight="1" x14ac:dyDescent="0.2">
      <c r="A616" s="156">
        <v>2180202</v>
      </c>
      <c r="B616" s="369" t="s">
        <v>1054</v>
      </c>
      <c r="C616" s="370"/>
      <c r="D616" s="370"/>
      <c r="E616" s="27">
        <v>-3333.33</v>
      </c>
      <c r="F616" s="27">
        <v>0</v>
      </c>
      <c r="H616" s="27">
        <v>0</v>
      </c>
      <c r="J616" s="27">
        <v>-3333.33</v>
      </c>
      <c r="K616" s="25">
        <f t="shared" si="10"/>
        <v>0</v>
      </c>
    </row>
    <row r="617" spans="1:11" ht="15.95" customHeight="1" x14ac:dyDescent="0.2">
      <c r="A617" s="156" t="s">
        <v>1055</v>
      </c>
      <c r="B617" s="369" t="s">
        <v>1054</v>
      </c>
      <c r="C617" s="370"/>
      <c r="D617" s="370"/>
      <c r="E617" s="27">
        <v>-3333.33</v>
      </c>
      <c r="F617" s="27">
        <v>0</v>
      </c>
      <c r="H617" s="27">
        <v>0</v>
      </c>
      <c r="J617" s="27">
        <v>-3333.33</v>
      </c>
      <c r="K617" s="25">
        <f t="shared" si="10"/>
        <v>0</v>
      </c>
    </row>
    <row r="618" spans="1:11" ht="15.95" customHeight="1" x14ac:dyDescent="0.2">
      <c r="A618" s="156">
        <v>2180203</v>
      </c>
      <c r="B618" s="369" t="s">
        <v>1056</v>
      </c>
      <c r="C618" s="370"/>
      <c r="D618" s="370"/>
      <c r="E618" s="27">
        <v>-514582.69</v>
      </c>
      <c r="F618" s="27">
        <v>0</v>
      </c>
      <c r="H618" s="27">
        <v>0</v>
      </c>
      <c r="J618" s="27">
        <v>-514582.69</v>
      </c>
      <c r="K618" s="25">
        <f t="shared" si="10"/>
        <v>0</v>
      </c>
    </row>
    <row r="619" spans="1:11" ht="15.95" customHeight="1" x14ac:dyDescent="0.2">
      <c r="A619" s="156" t="s">
        <v>1057</v>
      </c>
      <c r="B619" s="369" t="s">
        <v>1056</v>
      </c>
      <c r="C619" s="370"/>
      <c r="D619" s="370"/>
      <c r="E619" s="27">
        <v>-514582.69</v>
      </c>
      <c r="F619" s="27">
        <v>0</v>
      </c>
      <c r="H619" s="27">
        <v>0</v>
      </c>
      <c r="J619" s="27">
        <v>-514582.69</v>
      </c>
      <c r="K619" s="25">
        <f t="shared" si="10"/>
        <v>0</v>
      </c>
    </row>
    <row r="620" spans="1:11" ht="15.95" customHeight="1" x14ac:dyDescent="0.2">
      <c r="A620" s="163">
        <v>219</v>
      </c>
      <c r="B620" s="371" t="s">
        <v>1058</v>
      </c>
      <c r="C620" s="372"/>
      <c r="D620" s="372"/>
      <c r="E620" s="29">
        <v>-2304882.84</v>
      </c>
      <c r="F620" s="29">
        <v>3014513.97</v>
      </c>
      <c r="G620" s="164"/>
      <c r="H620" s="29">
        <v>3606501.16</v>
      </c>
      <c r="I620" s="164"/>
      <c r="J620" s="29">
        <v>-2896870.03</v>
      </c>
      <c r="K620" s="31">
        <f t="shared" si="10"/>
        <v>-591987.18999999994</v>
      </c>
    </row>
    <row r="621" spans="1:11" ht="15.95" customHeight="1" x14ac:dyDescent="0.2">
      <c r="A621" s="156">
        <v>21901</v>
      </c>
      <c r="B621" s="369" t="s">
        <v>1058</v>
      </c>
      <c r="C621" s="370"/>
      <c r="D621" s="370"/>
      <c r="E621" s="27">
        <v>-2304882.84</v>
      </c>
      <c r="F621" s="27">
        <v>3014513.97</v>
      </c>
      <c r="H621" s="27">
        <v>3606501.16</v>
      </c>
      <c r="J621" s="27">
        <v>-2896870.03</v>
      </c>
      <c r="K621" s="25">
        <f t="shared" si="10"/>
        <v>-591987.18999999994</v>
      </c>
    </row>
    <row r="622" spans="1:11" ht="15.95" customHeight="1" x14ac:dyDescent="0.2">
      <c r="A622" s="156">
        <v>2190101</v>
      </c>
      <c r="B622" s="369" t="s">
        <v>1058</v>
      </c>
      <c r="C622" s="370"/>
      <c r="D622" s="370"/>
      <c r="E622" s="27">
        <v>-2304882.84</v>
      </c>
      <c r="F622" s="27">
        <v>3014513.97</v>
      </c>
      <c r="H622" s="27">
        <v>3606501.16</v>
      </c>
      <c r="J622" s="27">
        <v>-2896870.03</v>
      </c>
      <c r="K622" s="25">
        <f t="shared" si="10"/>
        <v>-591987.18999999994</v>
      </c>
    </row>
    <row r="623" spans="1:11" ht="15.95" customHeight="1" x14ac:dyDescent="0.2">
      <c r="A623" s="156" t="s">
        <v>1059</v>
      </c>
      <c r="B623" s="369" t="s">
        <v>1060</v>
      </c>
      <c r="C623" s="370"/>
      <c r="D623" s="370"/>
      <c r="E623" s="27">
        <v>-4091.69</v>
      </c>
      <c r="F623" s="27">
        <v>181286.3</v>
      </c>
      <c r="H623" s="27">
        <v>939296.38</v>
      </c>
      <c r="J623" s="27">
        <v>-762101.77</v>
      </c>
      <c r="K623" s="25">
        <f t="shared" si="10"/>
        <v>-758010.08000000007</v>
      </c>
    </row>
    <row r="624" spans="1:11" ht="15.95" customHeight="1" x14ac:dyDescent="0.2">
      <c r="A624" s="156" t="s">
        <v>1061</v>
      </c>
      <c r="B624" s="369" t="s">
        <v>1062</v>
      </c>
      <c r="C624" s="370"/>
      <c r="D624" s="370"/>
      <c r="E624" s="27">
        <v>-1538801.86</v>
      </c>
      <c r="F624" s="27">
        <v>2019979.78</v>
      </c>
      <c r="H624" s="27">
        <v>1836041.64</v>
      </c>
      <c r="J624" s="27">
        <v>-1354863.72</v>
      </c>
      <c r="K624" s="25">
        <f t="shared" si="10"/>
        <v>183938.14000000013</v>
      </c>
    </row>
    <row r="625" spans="1:11" ht="15.95" customHeight="1" x14ac:dyDescent="0.2">
      <c r="A625" s="156" t="s">
        <v>1063</v>
      </c>
      <c r="B625" s="369" t="s">
        <v>1064</v>
      </c>
      <c r="C625" s="370"/>
      <c r="D625" s="370"/>
      <c r="E625" s="27">
        <v>-410860.1</v>
      </c>
      <c r="F625" s="27">
        <v>440552.76</v>
      </c>
      <c r="H625" s="27">
        <v>391441.37</v>
      </c>
      <c r="J625" s="27">
        <v>-361748.71</v>
      </c>
      <c r="K625" s="25">
        <f t="shared" si="10"/>
        <v>49111.389999999956</v>
      </c>
    </row>
    <row r="626" spans="1:11" ht="15.95" customHeight="1" x14ac:dyDescent="0.2">
      <c r="A626" s="156" t="s">
        <v>1065</v>
      </c>
      <c r="B626" s="369" t="s">
        <v>1066</v>
      </c>
      <c r="C626" s="370"/>
      <c r="D626" s="370"/>
      <c r="E626" s="27">
        <v>-123104.15</v>
      </c>
      <c r="F626" s="27">
        <v>131798.44</v>
      </c>
      <c r="H626" s="27">
        <v>117083.37</v>
      </c>
      <c r="J626" s="27">
        <v>-108389.08</v>
      </c>
      <c r="K626" s="25">
        <f t="shared" si="10"/>
        <v>14715.069999999992</v>
      </c>
    </row>
    <row r="627" spans="1:11" ht="15.95" customHeight="1" x14ac:dyDescent="0.2">
      <c r="A627" s="156" t="s">
        <v>1067</v>
      </c>
      <c r="B627" s="369" t="s">
        <v>1068</v>
      </c>
      <c r="C627" s="370"/>
      <c r="D627" s="370"/>
      <c r="E627" s="27">
        <v>-226461.63</v>
      </c>
      <c r="F627" s="27">
        <v>193605.98</v>
      </c>
      <c r="H627" s="27">
        <v>12318.2</v>
      </c>
      <c r="J627" s="27">
        <v>-45173.85</v>
      </c>
      <c r="K627" s="25">
        <f t="shared" si="10"/>
        <v>181287.78</v>
      </c>
    </row>
    <row r="628" spans="1:11" ht="15.95" customHeight="1" x14ac:dyDescent="0.2">
      <c r="A628" s="156" t="s">
        <v>1069</v>
      </c>
      <c r="B628" s="369" t="s">
        <v>1070</v>
      </c>
      <c r="C628" s="370"/>
      <c r="D628" s="370"/>
      <c r="E628" s="27">
        <v>-1204.8399999999999</v>
      </c>
      <c r="F628" s="27">
        <v>36387.949999999997</v>
      </c>
      <c r="H628" s="27">
        <v>238776.64</v>
      </c>
      <c r="J628" s="27">
        <v>-203593.53</v>
      </c>
      <c r="K628" s="25">
        <f t="shared" si="10"/>
        <v>-202388.69</v>
      </c>
    </row>
    <row r="629" spans="1:11" ht="15.95" customHeight="1" x14ac:dyDescent="0.2">
      <c r="A629" s="156" t="s">
        <v>1071</v>
      </c>
      <c r="B629" s="369" t="s">
        <v>1072</v>
      </c>
      <c r="C629" s="370"/>
      <c r="D629" s="370"/>
      <c r="E629" s="27">
        <v>-358.57</v>
      </c>
      <c r="F629" s="27">
        <v>10902.76</v>
      </c>
      <c r="H629" s="27">
        <v>71543.56</v>
      </c>
      <c r="J629" s="27">
        <v>-60999.37</v>
      </c>
      <c r="K629" s="25">
        <f t="shared" si="10"/>
        <v>-60640.800000000003</v>
      </c>
    </row>
    <row r="630" spans="1:11" ht="15.95" customHeight="1" x14ac:dyDescent="0.2">
      <c r="A630" s="156">
        <v>22</v>
      </c>
      <c r="B630" s="369" t="s">
        <v>1073</v>
      </c>
      <c r="C630" s="370"/>
      <c r="D630" s="370"/>
      <c r="E630" s="27">
        <v>-53695589.869999997</v>
      </c>
      <c r="F630" s="27">
        <v>514392.91</v>
      </c>
      <c r="H630" s="27">
        <v>2512314.4900000002</v>
      </c>
      <c r="J630" s="27">
        <v>-55693511.450000003</v>
      </c>
      <c r="K630" s="25">
        <f t="shared" si="10"/>
        <v>-1997921.5800000057</v>
      </c>
    </row>
    <row r="631" spans="1:11" ht="15.95" customHeight="1" x14ac:dyDescent="0.2">
      <c r="A631" s="156">
        <v>224</v>
      </c>
      <c r="B631" s="369" t="s">
        <v>1074</v>
      </c>
      <c r="C631" s="370"/>
      <c r="D631" s="370"/>
      <c r="E631" s="27">
        <v>-3540565.58</v>
      </c>
      <c r="F631" s="27">
        <v>514392.91</v>
      </c>
      <c r="H631" s="27">
        <v>171785.21</v>
      </c>
      <c r="J631" s="27">
        <v>-3197957.88</v>
      </c>
      <c r="K631" s="25">
        <f t="shared" si="10"/>
        <v>342607.70000000019</v>
      </c>
    </row>
    <row r="632" spans="1:11" ht="15.95" customHeight="1" x14ac:dyDescent="0.2">
      <c r="A632" s="163">
        <v>22401</v>
      </c>
      <c r="B632" s="371" t="s">
        <v>1075</v>
      </c>
      <c r="C632" s="372"/>
      <c r="D632" s="372"/>
      <c r="E632" s="29">
        <v>-3540565.58</v>
      </c>
      <c r="F632" s="29">
        <v>514392.91</v>
      </c>
      <c r="G632" s="164"/>
      <c r="H632" s="29">
        <v>171785.21</v>
      </c>
      <c r="I632" s="164"/>
      <c r="J632" s="29">
        <v>-3197957.88</v>
      </c>
      <c r="K632" s="31">
        <f t="shared" si="10"/>
        <v>342607.70000000019</v>
      </c>
    </row>
    <row r="633" spans="1:11" ht="15.95" customHeight="1" x14ac:dyDescent="0.2">
      <c r="A633" s="156">
        <v>2240101</v>
      </c>
      <c r="B633" s="369" t="s">
        <v>1075</v>
      </c>
      <c r="C633" s="370"/>
      <c r="D633" s="370"/>
      <c r="E633" s="27">
        <v>-3540565.58</v>
      </c>
      <c r="F633" s="27">
        <v>514392.91</v>
      </c>
      <c r="H633" s="27">
        <v>171785.21</v>
      </c>
      <c r="J633" s="27">
        <v>-3197957.88</v>
      </c>
      <c r="K633" s="25">
        <f t="shared" si="10"/>
        <v>342607.70000000019</v>
      </c>
    </row>
    <row r="634" spans="1:11" ht="15.95" customHeight="1" x14ac:dyDescent="0.2">
      <c r="A634" s="156" t="s">
        <v>1076</v>
      </c>
      <c r="B634" s="369" t="s">
        <v>634</v>
      </c>
      <c r="C634" s="370"/>
      <c r="D634" s="370"/>
      <c r="E634" s="27">
        <v>-3387630.04</v>
      </c>
      <c r="F634" s="27">
        <v>472361.76</v>
      </c>
      <c r="H634" s="27">
        <v>170159.76</v>
      </c>
      <c r="J634" s="27">
        <v>-3085428.04</v>
      </c>
      <c r="K634" s="25">
        <f t="shared" si="10"/>
        <v>302202</v>
      </c>
    </row>
    <row r="635" spans="1:11" ht="15.95" customHeight="1" x14ac:dyDescent="0.2">
      <c r="A635" s="156" t="s">
        <v>1077</v>
      </c>
      <c r="B635" s="369" t="s">
        <v>652</v>
      </c>
      <c r="C635" s="370"/>
      <c r="D635" s="370"/>
      <c r="E635" s="27">
        <v>-152935.54</v>
      </c>
      <c r="F635" s="27">
        <v>42031.15</v>
      </c>
      <c r="H635" s="27">
        <v>1625.45</v>
      </c>
      <c r="J635" s="27">
        <v>-112529.84</v>
      </c>
      <c r="K635" s="25">
        <f t="shared" si="10"/>
        <v>40405.700000000012</v>
      </c>
    </row>
    <row r="636" spans="1:11" ht="15.95" customHeight="1" x14ac:dyDescent="0.2">
      <c r="A636" s="163">
        <v>225</v>
      </c>
      <c r="B636" s="371" t="s">
        <v>1078</v>
      </c>
      <c r="C636" s="372"/>
      <c r="D636" s="372"/>
      <c r="E636" s="29">
        <v>-50155024.289999999</v>
      </c>
      <c r="F636" s="29">
        <v>0</v>
      </c>
      <c r="G636" s="164"/>
      <c r="H636" s="29">
        <v>2340529.2799999998</v>
      </c>
      <c r="I636" s="164"/>
      <c r="J636" s="29">
        <v>-52495553.57</v>
      </c>
      <c r="K636" s="31">
        <f t="shared" si="10"/>
        <v>-2340529.2800000012</v>
      </c>
    </row>
    <row r="637" spans="1:11" ht="15.95" customHeight="1" x14ac:dyDescent="0.2">
      <c r="A637" s="156">
        <v>22501</v>
      </c>
      <c r="B637" s="369" t="s">
        <v>1079</v>
      </c>
      <c r="C637" s="370"/>
      <c r="D637" s="370"/>
      <c r="E637" s="27">
        <v>-50155024.289999999</v>
      </c>
      <c r="F637" s="27">
        <v>0</v>
      </c>
      <c r="H637" s="27">
        <v>2340529.2799999998</v>
      </c>
      <c r="J637" s="27">
        <v>-52495553.57</v>
      </c>
      <c r="K637" s="25">
        <f t="shared" si="10"/>
        <v>-2340529.2800000012</v>
      </c>
    </row>
    <row r="638" spans="1:11" ht="15.95" customHeight="1" x14ac:dyDescent="0.2">
      <c r="A638" s="156">
        <v>2250101</v>
      </c>
      <c r="B638" s="369" t="s">
        <v>1079</v>
      </c>
      <c r="C638" s="370"/>
      <c r="D638" s="370"/>
      <c r="E638" s="27">
        <v>-50155024.289999999</v>
      </c>
      <c r="F638" s="27">
        <v>0</v>
      </c>
      <c r="H638" s="27">
        <v>2340529.2799999998</v>
      </c>
      <c r="J638" s="27">
        <v>-52495553.57</v>
      </c>
      <c r="K638" s="25">
        <f t="shared" si="10"/>
        <v>-2340529.2800000012</v>
      </c>
    </row>
    <row r="639" spans="1:11" ht="15.95" customHeight="1" x14ac:dyDescent="0.2">
      <c r="A639" s="156" t="s">
        <v>1080</v>
      </c>
      <c r="B639" s="369" t="s">
        <v>1081</v>
      </c>
      <c r="C639" s="370"/>
      <c r="D639" s="370"/>
      <c r="E639" s="27">
        <v>-50153955.340000004</v>
      </c>
      <c r="F639" s="27">
        <v>0</v>
      </c>
      <c r="H639" s="27">
        <v>2340479.4</v>
      </c>
      <c r="J639" s="27">
        <v>-52494434.740000002</v>
      </c>
      <c r="K639" s="25">
        <f t="shared" si="10"/>
        <v>-2340479.3999999985</v>
      </c>
    </row>
    <row r="640" spans="1:11" ht="15.95" customHeight="1" x14ac:dyDescent="0.2">
      <c r="A640" s="156" t="s">
        <v>1082</v>
      </c>
      <c r="B640" s="369" t="s">
        <v>1083</v>
      </c>
      <c r="C640" s="370"/>
      <c r="D640" s="370"/>
      <c r="E640" s="27">
        <v>-1068.95</v>
      </c>
      <c r="F640" s="27">
        <v>0</v>
      </c>
      <c r="H640" s="27">
        <v>49.88</v>
      </c>
      <c r="J640" s="27">
        <v>-1118.83</v>
      </c>
      <c r="K640" s="25">
        <f t="shared" si="10"/>
        <v>-49.879999999999882</v>
      </c>
    </row>
    <row r="641" spans="1:11" ht="15.95" customHeight="1" x14ac:dyDescent="0.2">
      <c r="A641" s="156">
        <v>23</v>
      </c>
      <c r="B641" s="369" t="s">
        <v>1091</v>
      </c>
      <c r="C641" s="370"/>
      <c r="D641" s="370"/>
      <c r="E641" s="27">
        <v>-265786956.05000001</v>
      </c>
      <c r="F641" s="27">
        <v>84358675.799999997</v>
      </c>
      <c r="H641" s="27">
        <v>62604085.189999998</v>
      </c>
      <c r="J641" s="27">
        <v>-244032365.44</v>
      </c>
      <c r="K641" s="25">
        <f t="shared" si="10"/>
        <v>21754590.610000014</v>
      </c>
    </row>
    <row r="642" spans="1:11" ht="15.95" customHeight="1" x14ac:dyDescent="0.2">
      <c r="A642" s="156">
        <v>231</v>
      </c>
      <c r="B642" s="369" t="s">
        <v>1092</v>
      </c>
      <c r="C642" s="370"/>
      <c r="D642" s="370"/>
      <c r="E642" s="27">
        <v>-332778173.26999998</v>
      </c>
      <c r="F642" s="27">
        <v>59498876</v>
      </c>
      <c r="H642" s="27">
        <v>39415.83</v>
      </c>
      <c r="J642" s="27">
        <v>-273318713.10000002</v>
      </c>
      <c r="K642" s="25">
        <f t="shared" si="10"/>
        <v>59459460.169999957</v>
      </c>
    </row>
    <row r="643" spans="1:11" ht="15.95" customHeight="1" x14ac:dyDescent="0.2">
      <c r="A643" s="156">
        <v>23101</v>
      </c>
      <c r="B643" s="369" t="s">
        <v>1092</v>
      </c>
      <c r="C643" s="370"/>
      <c r="D643" s="370"/>
      <c r="E643" s="27">
        <v>-332778173.26999998</v>
      </c>
      <c r="F643" s="27">
        <v>59498876</v>
      </c>
      <c r="H643" s="27">
        <v>39415.83</v>
      </c>
      <c r="J643" s="27">
        <v>-273318713.10000002</v>
      </c>
      <c r="K643" s="25">
        <f t="shared" si="10"/>
        <v>59459460.169999957</v>
      </c>
    </row>
    <row r="644" spans="1:11" ht="15.95" customHeight="1" x14ac:dyDescent="0.2">
      <c r="A644" s="156">
        <v>2310101</v>
      </c>
      <c r="B644" s="369" t="s">
        <v>1092</v>
      </c>
      <c r="C644" s="370"/>
      <c r="D644" s="370"/>
      <c r="E644" s="27">
        <v>-332778173.26999998</v>
      </c>
      <c r="F644" s="27">
        <v>59498876</v>
      </c>
      <c r="H644" s="27">
        <v>39415.83</v>
      </c>
      <c r="J644" s="27">
        <v>-273318713.10000002</v>
      </c>
      <c r="K644" s="25">
        <f t="shared" si="10"/>
        <v>59459460.169999957</v>
      </c>
    </row>
    <row r="645" spans="1:11" ht="15.95" customHeight="1" x14ac:dyDescent="0.2">
      <c r="A645" s="156" t="s">
        <v>1093</v>
      </c>
      <c r="B645" s="369" t="s">
        <v>1081</v>
      </c>
      <c r="C645" s="370"/>
      <c r="D645" s="370"/>
      <c r="E645" s="27">
        <v>-332557573.77999997</v>
      </c>
      <c r="F645" s="27">
        <v>59459460.170000002</v>
      </c>
      <c r="H645" s="27">
        <v>39415.83</v>
      </c>
      <c r="J645" s="27">
        <v>-273137529.44</v>
      </c>
      <c r="K645" s="25">
        <f t="shared" ref="K645:K702" si="11">J645-E645</f>
        <v>59420044.339999974</v>
      </c>
    </row>
    <row r="646" spans="1:11" ht="15.95" customHeight="1" x14ac:dyDescent="0.2">
      <c r="A646" s="156" t="s">
        <v>1094</v>
      </c>
      <c r="B646" s="369" t="s">
        <v>1083</v>
      </c>
      <c r="C646" s="370"/>
      <c r="D646" s="370"/>
      <c r="E646" s="27">
        <v>-220599.49</v>
      </c>
      <c r="F646" s="27">
        <v>39415.83</v>
      </c>
      <c r="H646" s="27">
        <v>0</v>
      </c>
      <c r="J646" s="27">
        <v>-181183.66</v>
      </c>
      <c r="K646" s="25">
        <f t="shared" si="11"/>
        <v>39415.829999999987</v>
      </c>
    </row>
    <row r="647" spans="1:11" ht="15.95" customHeight="1" x14ac:dyDescent="0.2">
      <c r="A647" s="163">
        <v>234</v>
      </c>
      <c r="B647" s="371" t="s">
        <v>1095</v>
      </c>
      <c r="C647" s="372"/>
      <c r="D647" s="372"/>
      <c r="E647" s="29">
        <v>2783577.44</v>
      </c>
      <c r="F647" s="29">
        <v>0</v>
      </c>
      <c r="G647" s="164"/>
      <c r="H647" s="29">
        <v>2783577.44</v>
      </c>
      <c r="I647" s="164"/>
      <c r="J647" s="29">
        <v>0</v>
      </c>
      <c r="K647" s="31">
        <f t="shared" si="11"/>
        <v>-2783577.44</v>
      </c>
    </row>
    <row r="648" spans="1:11" ht="15.95" customHeight="1" x14ac:dyDescent="0.2">
      <c r="A648" s="156">
        <v>23401</v>
      </c>
      <c r="B648" s="369" t="s">
        <v>1096</v>
      </c>
      <c r="C648" s="370"/>
      <c r="D648" s="370"/>
      <c r="E648" s="27">
        <v>2783577.44</v>
      </c>
      <c r="F648" s="27">
        <v>0</v>
      </c>
      <c r="H648" s="27">
        <v>2783577.44</v>
      </c>
      <c r="J648" s="27">
        <v>0</v>
      </c>
      <c r="K648" s="25">
        <f t="shared" si="11"/>
        <v>-2783577.44</v>
      </c>
    </row>
    <row r="649" spans="1:11" ht="15.95" customHeight="1" x14ac:dyDescent="0.2">
      <c r="A649" s="156">
        <v>2340101</v>
      </c>
      <c r="B649" s="369" t="s">
        <v>1096</v>
      </c>
      <c r="C649" s="370"/>
      <c r="D649" s="370"/>
      <c r="E649" s="27">
        <v>2783577.44</v>
      </c>
      <c r="F649" s="27">
        <v>0</v>
      </c>
      <c r="H649" s="27">
        <v>2783577.44</v>
      </c>
      <c r="J649" s="27">
        <v>0</v>
      </c>
      <c r="K649" s="25">
        <f t="shared" si="11"/>
        <v>-2783577.44</v>
      </c>
    </row>
    <row r="650" spans="1:11" ht="15.95" customHeight="1" x14ac:dyDescent="0.2">
      <c r="A650" s="156" t="s">
        <v>1545</v>
      </c>
      <c r="B650" s="369" t="s">
        <v>1095</v>
      </c>
      <c r="C650" s="370"/>
      <c r="D650" s="370"/>
      <c r="E650" s="27">
        <v>2783577.44</v>
      </c>
      <c r="F650" s="27">
        <v>0</v>
      </c>
      <c r="H650" s="27">
        <v>2783577.44</v>
      </c>
      <c r="J650" s="27">
        <v>0</v>
      </c>
      <c r="K650" s="25">
        <f t="shared" si="11"/>
        <v>-2783577.44</v>
      </c>
    </row>
    <row r="651" spans="1:11" ht="15.95" customHeight="1" x14ac:dyDescent="0.2">
      <c r="A651" s="156">
        <v>237</v>
      </c>
      <c r="B651" s="369" t="s">
        <v>1099</v>
      </c>
      <c r="C651" s="370"/>
      <c r="D651" s="370"/>
      <c r="E651" s="27">
        <v>-1378805.44</v>
      </c>
      <c r="F651" s="27">
        <v>0</v>
      </c>
      <c r="H651" s="27">
        <v>64343.21</v>
      </c>
      <c r="J651" s="27">
        <v>-1443148.65</v>
      </c>
      <c r="K651" s="25">
        <f t="shared" si="11"/>
        <v>-64343.209999999963</v>
      </c>
    </row>
    <row r="652" spans="1:11" ht="15.95" customHeight="1" x14ac:dyDescent="0.2">
      <c r="A652" s="156">
        <v>23701</v>
      </c>
      <c r="B652" s="369" t="s">
        <v>1100</v>
      </c>
      <c r="C652" s="370"/>
      <c r="D652" s="370"/>
      <c r="E652" s="27">
        <v>-1378805.44</v>
      </c>
      <c r="F652" s="27">
        <v>0</v>
      </c>
      <c r="H652" s="27">
        <v>64343.21</v>
      </c>
      <c r="J652" s="27">
        <v>-1443148.65</v>
      </c>
      <c r="K652" s="25">
        <f t="shared" si="11"/>
        <v>-64343.209999999963</v>
      </c>
    </row>
    <row r="653" spans="1:11" ht="27.95" customHeight="1" x14ac:dyDescent="0.2">
      <c r="A653" s="156">
        <v>2370101</v>
      </c>
      <c r="B653" s="369" t="s">
        <v>1100</v>
      </c>
      <c r="C653" s="370"/>
      <c r="D653" s="370"/>
      <c r="E653" s="27">
        <v>-1378805.44</v>
      </c>
      <c r="F653" s="27">
        <v>0</v>
      </c>
      <c r="H653" s="27">
        <v>64343.21</v>
      </c>
      <c r="J653" s="27">
        <v>-1443148.65</v>
      </c>
      <c r="K653" s="25">
        <f t="shared" si="11"/>
        <v>-64343.209999999963</v>
      </c>
    </row>
    <row r="654" spans="1:11" ht="15.95" customHeight="1" x14ac:dyDescent="0.2">
      <c r="A654" s="156" t="s">
        <v>1101</v>
      </c>
      <c r="B654" s="369" t="s">
        <v>1102</v>
      </c>
      <c r="C654" s="370"/>
      <c r="D654" s="370"/>
      <c r="E654" s="27">
        <v>-1378805.44</v>
      </c>
      <c r="F654" s="27">
        <v>0</v>
      </c>
      <c r="H654" s="27">
        <v>64343.21</v>
      </c>
      <c r="J654" s="27">
        <v>-1443148.65</v>
      </c>
      <c r="K654" s="25">
        <f t="shared" si="11"/>
        <v>-64343.209999999963</v>
      </c>
    </row>
    <row r="655" spans="1:11" ht="15.95" customHeight="1" x14ac:dyDescent="0.2">
      <c r="A655" s="156">
        <v>238</v>
      </c>
      <c r="B655" s="369" t="s">
        <v>1103</v>
      </c>
      <c r="C655" s="370"/>
      <c r="D655" s="370"/>
      <c r="E655" s="27">
        <v>-8546606.6600000001</v>
      </c>
      <c r="F655" s="27">
        <v>0</v>
      </c>
      <c r="H655" s="27">
        <v>0</v>
      </c>
      <c r="J655" s="27">
        <v>-8546606.6600000001</v>
      </c>
      <c r="K655" s="25">
        <f t="shared" si="11"/>
        <v>0</v>
      </c>
    </row>
    <row r="656" spans="1:11" ht="15.95" customHeight="1" x14ac:dyDescent="0.2">
      <c r="A656" s="156">
        <v>23801</v>
      </c>
      <c r="B656" s="369" t="s">
        <v>1103</v>
      </c>
      <c r="C656" s="370"/>
      <c r="D656" s="370"/>
      <c r="E656" s="27">
        <v>-8546606.6600000001</v>
      </c>
      <c r="F656" s="27">
        <v>0</v>
      </c>
      <c r="H656" s="27">
        <v>0</v>
      </c>
      <c r="J656" s="27">
        <v>-8546606.6600000001</v>
      </c>
      <c r="K656" s="25">
        <f t="shared" si="11"/>
        <v>0</v>
      </c>
    </row>
    <row r="657" spans="1:11" ht="15.95" customHeight="1" x14ac:dyDescent="0.2">
      <c r="A657" s="156">
        <v>2380101</v>
      </c>
      <c r="B657" s="369" t="s">
        <v>1103</v>
      </c>
      <c r="C657" s="370"/>
      <c r="D657" s="370"/>
      <c r="E657" s="27">
        <v>-8546606.6600000001</v>
      </c>
      <c r="F657" s="27">
        <v>0</v>
      </c>
      <c r="H657" s="27">
        <v>0</v>
      </c>
      <c r="J657" s="27">
        <v>-8546606.6600000001</v>
      </c>
      <c r="K657" s="25">
        <f t="shared" si="11"/>
        <v>0</v>
      </c>
    </row>
    <row r="658" spans="1:11" ht="15.95" customHeight="1" x14ac:dyDescent="0.2">
      <c r="A658" s="156" t="s">
        <v>1104</v>
      </c>
      <c r="B658" s="369" t="s">
        <v>1081</v>
      </c>
      <c r="C658" s="370"/>
      <c r="D658" s="370"/>
      <c r="E658" s="27">
        <v>-8546606.6600000001</v>
      </c>
      <c r="F658" s="27">
        <v>0</v>
      </c>
      <c r="H658" s="27">
        <v>0</v>
      </c>
      <c r="J658" s="27">
        <v>-8546606.6600000001</v>
      </c>
      <c r="K658" s="25">
        <f t="shared" si="11"/>
        <v>0</v>
      </c>
    </row>
    <row r="659" spans="1:11" ht="15.95" customHeight="1" x14ac:dyDescent="0.2">
      <c r="A659" s="156">
        <v>239</v>
      </c>
      <c r="B659" s="369" t="s">
        <v>1105</v>
      </c>
      <c r="C659" s="370"/>
      <c r="D659" s="370"/>
      <c r="E659" s="27">
        <v>74133051.879999995</v>
      </c>
      <c r="F659" s="27">
        <v>24859799.800000001</v>
      </c>
      <c r="H659" s="27">
        <v>59716748.710000001</v>
      </c>
      <c r="J659" s="27">
        <v>39276102.969999999</v>
      </c>
      <c r="K659" s="25">
        <f t="shared" si="11"/>
        <v>-34856948.909999996</v>
      </c>
    </row>
    <row r="660" spans="1:11" ht="15.95" customHeight="1" x14ac:dyDescent="0.2">
      <c r="A660" s="156">
        <v>23901</v>
      </c>
      <c r="B660" s="369" t="s">
        <v>1105</v>
      </c>
      <c r="C660" s="370"/>
      <c r="D660" s="370"/>
      <c r="E660" s="27">
        <v>74133051.879999995</v>
      </c>
      <c r="F660" s="27">
        <v>24859799.800000001</v>
      </c>
      <c r="H660" s="27">
        <v>59716748.710000001</v>
      </c>
      <c r="J660" s="27">
        <v>39276102.969999999</v>
      </c>
      <c r="K660" s="25">
        <f t="shared" si="11"/>
        <v>-34856948.909999996</v>
      </c>
    </row>
    <row r="661" spans="1:11" ht="15.95" customHeight="1" x14ac:dyDescent="0.2">
      <c r="A661" s="156">
        <v>2390101</v>
      </c>
      <c r="B661" s="369" t="s">
        <v>1106</v>
      </c>
      <c r="C661" s="370"/>
      <c r="D661" s="370"/>
      <c r="E661" s="27">
        <v>-71351.210000000006</v>
      </c>
      <c r="F661" s="27">
        <v>24859799.800000001</v>
      </c>
      <c r="H661" s="27">
        <v>0</v>
      </c>
      <c r="J661" s="27">
        <v>24788448.59</v>
      </c>
      <c r="K661" s="25">
        <f t="shared" si="11"/>
        <v>24859799.800000001</v>
      </c>
    </row>
    <row r="662" spans="1:11" ht="15.95" customHeight="1" x14ac:dyDescent="0.2">
      <c r="A662" s="156" t="s">
        <v>1107</v>
      </c>
      <c r="B662" s="369" t="s">
        <v>1108</v>
      </c>
      <c r="C662" s="370"/>
      <c r="D662" s="370"/>
      <c r="E662" s="27">
        <v>-71351.210000000006</v>
      </c>
      <c r="F662" s="27">
        <v>71351.210000000006</v>
      </c>
      <c r="H662" s="27">
        <v>0</v>
      </c>
      <c r="J662" s="27">
        <v>0</v>
      </c>
      <c r="K662" s="25">
        <f t="shared" si="11"/>
        <v>71351.210000000006</v>
      </c>
    </row>
    <row r="663" spans="1:11" ht="15.95" customHeight="1" x14ac:dyDescent="0.2">
      <c r="A663" s="156" t="s">
        <v>1109</v>
      </c>
      <c r="B663" s="369" t="s">
        <v>1110</v>
      </c>
      <c r="C663" s="370"/>
      <c r="D663" s="370"/>
      <c r="E663" s="27">
        <v>0</v>
      </c>
      <c r="F663" s="27">
        <v>24788448.59</v>
      </c>
      <c r="H663" s="27">
        <v>0</v>
      </c>
      <c r="J663" s="27">
        <v>24788448.59</v>
      </c>
      <c r="K663" s="25">
        <f t="shared" si="11"/>
        <v>24788448.59</v>
      </c>
    </row>
    <row r="664" spans="1:11" ht="15.95" customHeight="1" x14ac:dyDescent="0.2">
      <c r="A664" s="156">
        <v>2390102</v>
      </c>
      <c r="B664" s="369" t="s">
        <v>1111</v>
      </c>
      <c r="C664" s="370"/>
      <c r="D664" s="370"/>
      <c r="E664" s="27">
        <v>74204403.090000004</v>
      </c>
      <c r="F664" s="27">
        <v>0</v>
      </c>
      <c r="H664" s="27">
        <v>59716748.710000001</v>
      </c>
      <c r="J664" s="27">
        <v>14487654.380000001</v>
      </c>
      <c r="K664" s="25">
        <f t="shared" si="11"/>
        <v>-59716748.710000001</v>
      </c>
    </row>
    <row r="665" spans="1:11" ht="15.95" customHeight="1" x14ac:dyDescent="0.2">
      <c r="A665" s="156" t="s">
        <v>1617</v>
      </c>
      <c r="B665" s="369" t="s">
        <v>1618</v>
      </c>
      <c r="C665" s="370"/>
      <c r="D665" s="370"/>
      <c r="E665" s="27">
        <v>18872365.699999999</v>
      </c>
      <c r="F665" s="27">
        <v>0</v>
      </c>
      <c r="H665" s="27">
        <v>18872365.699999999</v>
      </c>
      <c r="J665" s="27">
        <v>0</v>
      </c>
      <c r="K665" s="25">
        <f t="shared" si="11"/>
        <v>-18872365.699999999</v>
      </c>
    </row>
    <row r="666" spans="1:11" ht="15.95" customHeight="1" x14ac:dyDescent="0.2">
      <c r="A666" s="156" t="s">
        <v>1619</v>
      </c>
      <c r="B666" s="369" t="s">
        <v>1620</v>
      </c>
      <c r="C666" s="370"/>
      <c r="D666" s="370"/>
      <c r="E666" s="27">
        <v>22694376.539999999</v>
      </c>
      <c r="F666" s="27">
        <v>0</v>
      </c>
      <c r="H666" s="27">
        <v>22694376.539999999</v>
      </c>
      <c r="J666" s="27">
        <v>0</v>
      </c>
      <c r="K666" s="25">
        <f t="shared" si="11"/>
        <v>-22694376.539999999</v>
      </c>
    </row>
    <row r="667" spans="1:11" ht="15.95" customHeight="1" x14ac:dyDescent="0.2">
      <c r="A667" s="156" t="s">
        <v>1621</v>
      </c>
      <c r="B667" s="369" t="s">
        <v>1622</v>
      </c>
      <c r="C667" s="370"/>
      <c r="D667" s="370"/>
      <c r="E667" s="27">
        <v>17892717.93</v>
      </c>
      <c r="F667" s="27">
        <v>0</v>
      </c>
      <c r="H667" s="27">
        <v>17892717.93</v>
      </c>
      <c r="J667" s="27">
        <v>0</v>
      </c>
      <c r="K667" s="25">
        <f t="shared" si="11"/>
        <v>-17892717.93</v>
      </c>
    </row>
    <row r="668" spans="1:11" ht="15.95" customHeight="1" x14ac:dyDescent="0.2">
      <c r="A668" s="156" t="s">
        <v>1112</v>
      </c>
      <c r="B668" s="369" t="s">
        <v>1113</v>
      </c>
      <c r="C668" s="370"/>
      <c r="D668" s="370"/>
      <c r="E668" s="27">
        <v>14744942.92</v>
      </c>
      <c r="F668" s="27">
        <v>0</v>
      </c>
      <c r="H668" s="27">
        <v>257288.54</v>
      </c>
      <c r="J668" s="27">
        <v>14487654.380000001</v>
      </c>
      <c r="K668" s="25">
        <f t="shared" si="11"/>
        <v>-257288.53999999911</v>
      </c>
    </row>
    <row r="669" spans="1:11" ht="15.95" customHeight="1" x14ac:dyDescent="0.2">
      <c r="A669" s="156">
        <v>24</v>
      </c>
      <c r="B669" s="369" t="s">
        <v>1119</v>
      </c>
      <c r="C669" s="370"/>
      <c r="D669" s="370"/>
      <c r="E669" s="27">
        <v>-1236717.49</v>
      </c>
      <c r="F669" s="27">
        <v>0</v>
      </c>
      <c r="H669" s="27">
        <v>0</v>
      </c>
      <c r="J669" s="27">
        <v>-1236717.49</v>
      </c>
      <c r="K669" s="25">
        <f t="shared" si="11"/>
        <v>0</v>
      </c>
    </row>
    <row r="670" spans="1:11" ht="15.95" customHeight="1" x14ac:dyDescent="0.2">
      <c r="A670" s="156">
        <v>241</v>
      </c>
      <c r="B670" s="369" t="s">
        <v>456</v>
      </c>
      <c r="C670" s="370"/>
      <c r="D670" s="370"/>
      <c r="E670" s="27">
        <v>-1236717.49</v>
      </c>
      <c r="F670" s="27">
        <v>0</v>
      </c>
      <c r="H670" s="27">
        <v>0</v>
      </c>
      <c r="J670" s="27">
        <v>-1236717.49</v>
      </c>
      <c r="K670" s="25">
        <f t="shared" si="11"/>
        <v>0</v>
      </c>
    </row>
    <row r="671" spans="1:11" ht="15.95" customHeight="1" x14ac:dyDescent="0.2">
      <c r="A671" s="156">
        <v>24101</v>
      </c>
      <c r="B671" s="369" t="s">
        <v>1120</v>
      </c>
      <c r="C671" s="370"/>
      <c r="D671" s="370"/>
      <c r="E671" s="27">
        <v>-1236717.49</v>
      </c>
      <c r="F671" s="27">
        <v>0</v>
      </c>
      <c r="H671" s="27">
        <v>0</v>
      </c>
      <c r="J671" s="27">
        <v>-1236717.49</v>
      </c>
      <c r="K671" s="25">
        <f t="shared" si="11"/>
        <v>0</v>
      </c>
    </row>
    <row r="672" spans="1:11" ht="15.95" customHeight="1" x14ac:dyDescent="0.2">
      <c r="A672" s="156">
        <v>2410101</v>
      </c>
      <c r="B672" s="369" t="s">
        <v>457</v>
      </c>
      <c r="C672" s="370"/>
      <c r="D672" s="370"/>
      <c r="E672" s="27">
        <v>-1236717.49</v>
      </c>
      <c r="F672" s="27">
        <v>0</v>
      </c>
      <c r="H672" s="27">
        <v>0</v>
      </c>
      <c r="J672" s="27">
        <v>-1236717.49</v>
      </c>
      <c r="K672" s="25">
        <f t="shared" si="11"/>
        <v>0</v>
      </c>
    </row>
    <row r="673" spans="1:11" ht="15.95" customHeight="1" x14ac:dyDescent="0.2">
      <c r="A673" s="156" t="s">
        <v>1121</v>
      </c>
      <c r="B673" s="369" t="s">
        <v>459</v>
      </c>
      <c r="C673" s="370"/>
      <c r="D673" s="370"/>
      <c r="E673" s="27">
        <v>-1236717.49</v>
      </c>
      <c r="F673" s="27">
        <v>0</v>
      </c>
      <c r="H673" s="27">
        <v>0</v>
      </c>
      <c r="J673" s="27">
        <v>-1236717.49</v>
      </c>
      <c r="K673" s="25">
        <f t="shared" si="11"/>
        <v>0</v>
      </c>
    </row>
    <row r="674" spans="1:11" ht="15.95" customHeight="1" x14ac:dyDescent="0.2">
      <c r="A674" s="156">
        <v>3</v>
      </c>
      <c r="B674" s="369" t="s">
        <v>1122</v>
      </c>
      <c r="C674" s="370"/>
      <c r="D674" s="370"/>
      <c r="E674" s="27">
        <v>0</v>
      </c>
      <c r="F674" s="27">
        <v>7360618.3700000001</v>
      </c>
      <c r="H674" s="27">
        <v>45607245.530000001</v>
      </c>
      <c r="J674" s="27">
        <v>-38246627.159999996</v>
      </c>
      <c r="K674" s="25">
        <f t="shared" si="11"/>
        <v>-38246627.159999996</v>
      </c>
    </row>
    <row r="675" spans="1:11" ht="15.95" customHeight="1" x14ac:dyDescent="0.2">
      <c r="A675" s="156">
        <v>31</v>
      </c>
      <c r="B675" s="369" t="s">
        <v>1123</v>
      </c>
      <c r="C675" s="370"/>
      <c r="D675" s="370"/>
      <c r="E675" s="27">
        <v>0</v>
      </c>
      <c r="F675" s="27">
        <v>0</v>
      </c>
      <c r="H675" s="27">
        <v>45607226.259999998</v>
      </c>
      <c r="J675" s="27">
        <v>-45607226.259999998</v>
      </c>
      <c r="K675" s="25">
        <f t="shared" si="11"/>
        <v>-45607226.259999998</v>
      </c>
    </row>
    <row r="676" spans="1:11" ht="15.95" customHeight="1" x14ac:dyDescent="0.2">
      <c r="A676" s="156">
        <v>311</v>
      </c>
      <c r="B676" s="369" t="s">
        <v>1124</v>
      </c>
      <c r="C676" s="370"/>
      <c r="D676" s="370"/>
      <c r="E676" s="27">
        <v>0</v>
      </c>
      <c r="F676" s="27">
        <v>0</v>
      </c>
      <c r="H676" s="27">
        <v>45607226.259999998</v>
      </c>
      <c r="J676" s="27">
        <v>-45607226.259999998</v>
      </c>
      <c r="K676" s="25">
        <f t="shared" si="11"/>
        <v>-45607226.259999998</v>
      </c>
    </row>
    <row r="677" spans="1:11" ht="15.95" customHeight="1" x14ac:dyDescent="0.2">
      <c r="A677" s="156">
        <v>31101</v>
      </c>
      <c r="B677" s="369" t="s">
        <v>1125</v>
      </c>
      <c r="C677" s="370"/>
      <c r="D677" s="370"/>
      <c r="E677" s="27">
        <v>0</v>
      </c>
      <c r="F677" s="27">
        <v>0</v>
      </c>
      <c r="H677" s="27">
        <v>40105765.25</v>
      </c>
      <c r="J677" s="27">
        <v>-40105765.25</v>
      </c>
      <c r="K677" s="25">
        <f t="shared" si="11"/>
        <v>-40105765.25</v>
      </c>
    </row>
    <row r="678" spans="1:11" ht="15.95" customHeight="1" x14ac:dyDescent="0.2">
      <c r="A678" s="156">
        <v>3110101</v>
      </c>
      <c r="B678" s="369" t="s">
        <v>1126</v>
      </c>
      <c r="C678" s="370"/>
      <c r="D678" s="370"/>
      <c r="E678" s="27">
        <v>0</v>
      </c>
      <c r="F678" s="27">
        <v>0</v>
      </c>
      <c r="H678" s="27">
        <v>40105765.25</v>
      </c>
      <c r="J678" s="27">
        <v>-40105765.25</v>
      </c>
      <c r="K678" s="25">
        <f t="shared" si="11"/>
        <v>-40105765.25</v>
      </c>
    </row>
    <row r="679" spans="1:11" ht="15.95" customHeight="1" x14ac:dyDescent="0.2">
      <c r="A679" s="156" t="s">
        <v>1127</v>
      </c>
      <c r="B679" s="369" t="s">
        <v>1128</v>
      </c>
      <c r="C679" s="370"/>
      <c r="D679" s="370"/>
      <c r="E679" s="27">
        <v>0</v>
      </c>
      <c r="F679" s="27">
        <v>0</v>
      </c>
      <c r="H679" s="27">
        <v>12546890.5</v>
      </c>
      <c r="J679" s="27">
        <v>-12546890.5</v>
      </c>
      <c r="K679" s="25">
        <f t="shared" si="11"/>
        <v>-12546890.5</v>
      </c>
    </row>
    <row r="680" spans="1:11" ht="15.95" customHeight="1" x14ac:dyDescent="0.2">
      <c r="A680" s="156" t="s">
        <v>1129</v>
      </c>
      <c r="B680" s="369" t="s">
        <v>1130</v>
      </c>
      <c r="C680" s="370"/>
      <c r="D680" s="370"/>
      <c r="E680" s="27">
        <v>0</v>
      </c>
      <c r="F680" s="27">
        <v>0</v>
      </c>
      <c r="H680" s="27">
        <v>2180192.4500000002</v>
      </c>
      <c r="J680" s="27">
        <v>-2180192.4500000002</v>
      </c>
      <c r="K680" s="25">
        <f t="shared" si="11"/>
        <v>-2180192.4500000002</v>
      </c>
    </row>
    <row r="681" spans="1:11" ht="15.95" customHeight="1" x14ac:dyDescent="0.2">
      <c r="A681" s="156" t="s">
        <v>1131</v>
      </c>
      <c r="B681" s="369" t="s">
        <v>1132</v>
      </c>
      <c r="C681" s="370"/>
      <c r="D681" s="370"/>
      <c r="E681" s="27">
        <v>0</v>
      </c>
      <c r="F681" s="27">
        <v>0</v>
      </c>
      <c r="H681" s="27">
        <v>17324689.329999998</v>
      </c>
      <c r="J681" s="27">
        <v>-17324689.329999998</v>
      </c>
      <c r="K681" s="25">
        <f t="shared" si="11"/>
        <v>-17324689.329999998</v>
      </c>
    </row>
    <row r="682" spans="1:11" ht="15.95" customHeight="1" x14ac:dyDescent="0.2">
      <c r="A682" s="156" t="s">
        <v>1133</v>
      </c>
      <c r="B682" s="369" t="s">
        <v>1134</v>
      </c>
      <c r="C682" s="370"/>
      <c r="D682" s="370"/>
      <c r="E682" s="27">
        <v>0</v>
      </c>
      <c r="F682" s="27">
        <v>0</v>
      </c>
      <c r="H682" s="27">
        <v>1068722.1100000001</v>
      </c>
      <c r="J682" s="27">
        <v>-1068722.1100000001</v>
      </c>
      <c r="K682" s="25">
        <f t="shared" si="11"/>
        <v>-1068722.1100000001</v>
      </c>
    </row>
    <row r="683" spans="1:11" ht="15.95" customHeight="1" x14ac:dyDescent="0.2">
      <c r="A683" s="156" t="s">
        <v>1135</v>
      </c>
      <c r="B683" s="369" t="s">
        <v>1136</v>
      </c>
      <c r="C683" s="370"/>
      <c r="D683" s="370"/>
      <c r="E683" s="27">
        <v>0</v>
      </c>
      <c r="F683" s="27">
        <v>0</v>
      </c>
      <c r="H683" s="27">
        <v>6985270.8600000003</v>
      </c>
      <c r="J683" s="27">
        <v>-6985270.8600000003</v>
      </c>
      <c r="K683" s="25">
        <f t="shared" si="11"/>
        <v>-6985270.8600000003</v>
      </c>
    </row>
    <row r="684" spans="1:11" ht="15.95" customHeight="1" x14ac:dyDescent="0.2">
      <c r="A684" s="156">
        <v>31103</v>
      </c>
      <c r="B684" s="369" t="s">
        <v>1137</v>
      </c>
      <c r="C684" s="370"/>
      <c r="D684" s="370"/>
      <c r="E684" s="27">
        <v>0</v>
      </c>
      <c r="F684" s="27">
        <v>0</v>
      </c>
      <c r="H684" s="27">
        <v>5501461.0099999998</v>
      </c>
      <c r="J684" s="27">
        <v>-5501461.0099999998</v>
      </c>
      <c r="K684" s="25">
        <f t="shared" si="11"/>
        <v>-5501461.0099999998</v>
      </c>
    </row>
    <row r="685" spans="1:11" ht="15.95" customHeight="1" x14ac:dyDescent="0.2">
      <c r="A685" s="156">
        <v>3110301</v>
      </c>
      <c r="B685" s="369" t="s">
        <v>1138</v>
      </c>
      <c r="C685" s="370"/>
      <c r="D685" s="370"/>
      <c r="E685" s="27">
        <v>0</v>
      </c>
      <c r="F685" s="27">
        <v>0</v>
      </c>
      <c r="H685" s="27">
        <v>5501461.0099999998</v>
      </c>
      <c r="J685" s="27">
        <v>-5501461.0099999998</v>
      </c>
      <c r="K685" s="25">
        <f t="shared" si="11"/>
        <v>-5501461.0099999998</v>
      </c>
    </row>
    <row r="686" spans="1:11" ht="15.95" customHeight="1" x14ac:dyDescent="0.2">
      <c r="A686" s="156" t="s">
        <v>1139</v>
      </c>
      <c r="B686" s="369" t="s">
        <v>1140</v>
      </c>
      <c r="C686" s="370"/>
      <c r="D686" s="370"/>
      <c r="E686" s="27">
        <v>0</v>
      </c>
      <c r="F686" s="27">
        <v>0</v>
      </c>
      <c r="H686" s="27">
        <v>5251738.21</v>
      </c>
      <c r="J686" s="27">
        <v>-5251738.21</v>
      </c>
      <c r="K686" s="25">
        <f t="shared" si="11"/>
        <v>-5251738.21</v>
      </c>
    </row>
    <row r="687" spans="1:11" ht="15.95" customHeight="1" x14ac:dyDescent="0.2">
      <c r="A687" s="156" t="s">
        <v>1546</v>
      </c>
      <c r="B687" s="369" t="s">
        <v>1547</v>
      </c>
      <c r="C687" s="370"/>
      <c r="D687" s="370"/>
      <c r="E687" s="27">
        <v>0</v>
      </c>
      <c r="F687" s="27">
        <v>0</v>
      </c>
      <c r="H687" s="27">
        <v>249722.8</v>
      </c>
      <c r="J687" s="27">
        <v>-249722.8</v>
      </c>
      <c r="K687" s="25">
        <f t="shared" si="11"/>
        <v>-249722.8</v>
      </c>
    </row>
    <row r="688" spans="1:11" ht="15.95" customHeight="1" x14ac:dyDescent="0.2">
      <c r="A688" s="156">
        <v>32</v>
      </c>
      <c r="B688" s="369" t="s">
        <v>1141</v>
      </c>
      <c r="C688" s="370"/>
      <c r="D688" s="370"/>
      <c r="E688" s="27">
        <v>0</v>
      </c>
      <c r="F688" s="27">
        <v>7360618.3700000001</v>
      </c>
      <c r="H688" s="27">
        <v>19.27</v>
      </c>
      <c r="J688" s="27">
        <v>7360599.0999999996</v>
      </c>
      <c r="K688" s="25">
        <f t="shared" si="11"/>
        <v>7360599.0999999996</v>
      </c>
    </row>
    <row r="689" spans="1:11" ht="15.95" customHeight="1" x14ac:dyDescent="0.2">
      <c r="A689" s="156">
        <v>321</v>
      </c>
      <c r="B689" s="369" t="s">
        <v>1124</v>
      </c>
      <c r="C689" s="370"/>
      <c r="D689" s="370"/>
      <c r="E689" s="27">
        <v>0</v>
      </c>
      <c r="F689" s="27">
        <v>7360618.3700000001</v>
      </c>
      <c r="H689" s="27">
        <v>19.27</v>
      </c>
      <c r="J689" s="27">
        <v>7360599.0999999996</v>
      </c>
      <c r="K689" s="25">
        <f t="shared" si="11"/>
        <v>7360599.0999999996</v>
      </c>
    </row>
    <row r="690" spans="1:11" ht="15.95" customHeight="1" x14ac:dyDescent="0.2">
      <c r="A690" s="156">
        <v>32101</v>
      </c>
      <c r="B690" s="369" t="s">
        <v>1142</v>
      </c>
      <c r="C690" s="370"/>
      <c r="D690" s="370"/>
      <c r="E690" s="27">
        <v>0</v>
      </c>
      <c r="F690" s="27">
        <v>7360618.3700000001</v>
      </c>
      <c r="H690" s="27">
        <v>19.27</v>
      </c>
      <c r="J690" s="27">
        <v>7360599.0999999996</v>
      </c>
      <c r="K690" s="25">
        <f t="shared" si="11"/>
        <v>7360599.0999999996</v>
      </c>
    </row>
    <row r="691" spans="1:11" ht="15.95" customHeight="1" x14ac:dyDescent="0.2">
      <c r="A691" s="156">
        <v>3210101</v>
      </c>
      <c r="B691" s="369" t="s">
        <v>1143</v>
      </c>
      <c r="C691" s="370"/>
      <c r="D691" s="370"/>
      <c r="E691" s="27">
        <v>0</v>
      </c>
      <c r="F691" s="27">
        <v>5796467.5700000003</v>
      </c>
      <c r="H691" s="27">
        <v>0</v>
      </c>
      <c r="J691" s="27">
        <v>5796467.5700000003</v>
      </c>
      <c r="K691" s="25">
        <f t="shared" si="11"/>
        <v>5796467.5700000003</v>
      </c>
    </row>
    <row r="692" spans="1:11" ht="15.95" customHeight="1" x14ac:dyDescent="0.2">
      <c r="A692" s="156" t="s">
        <v>1144</v>
      </c>
      <c r="B692" s="369" t="s">
        <v>1145</v>
      </c>
      <c r="C692" s="370"/>
      <c r="D692" s="370"/>
      <c r="E692" s="27">
        <v>0</v>
      </c>
      <c r="F692" s="27">
        <v>681886.41</v>
      </c>
      <c r="H692" s="27">
        <v>0</v>
      </c>
      <c r="J692" s="27">
        <v>681886.41</v>
      </c>
      <c r="K692" s="25">
        <f t="shared" si="11"/>
        <v>681886.41</v>
      </c>
    </row>
    <row r="693" spans="1:11" ht="15.95" customHeight="1" x14ac:dyDescent="0.2">
      <c r="A693" s="156" t="s">
        <v>1146</v>
      </c>
      <c r="B693" s="369" t="s">
        <v>1147</v>
      </c>
      <c r="C693" s="370"/>
      <c r="D693" s="370"/>
      <c r="E693" s="27">
        <v>0</v>
      </c>
      <c r="F693" s="27">
        <v>3144359.54</v>
      </c>
      <c r="H693" s="27">
        <v>0</v>
      </c>
      <c r="J693" s="27">
        <v>3144359.54</v>
      </c>
      <c r="K693" s="25">
        <f t="shared" si="11"/>
        <v>3144359.54</v>
      </c>
    </row>
    <row r="694" spans="1:11" ht="15.95" customHeight="1" x14ac:dyDescent="0.2">
      <c r="A694" s="156" t="s">
        <v>1148</v>
      </c>
      <c r="B694" s="369" t="s">
        <v>1149</v>
      </c>
      <c r="C694" s="370"/>
      <c r="D694" s="370"/>
      <c r="E694" s="27">
        <v>0</v>
      </c>
      <c r="F694" s="27">
        <v>1970221.62</v>
      </c>
      <c r="H694" s="27">
        <v>0</v>
      </c>
      <c r="J694" s="27">
        <v>1970221.62</v>
      </c>
      <c r="K694" s="25">
        <f t="shared" si="11"/>
        <v>1970221.62</v>
      </c>
    </row>
    <row r="695" spans="1:11" ht="15.95" customHeight="1" x14ac:dyDescent="0.2">
      <c r="A695" s="156">
        <v>3210102</v>
      </c>
      <c r="B695" s="369" t="s">
        <v>1150</v>
      </c>
      <c r="C695" s="370"/>
      <c r="D695" s="370"/>
      <c r="E695" s="27">
        <v>0</v>
      </c>
      <c r="F695" s="27">
        <v>1564150.8</v>
      </c>
      <c r="H695" s="27">
        <v>19.27</v>
      </c>
      <c r="J695" s="27">
        <v>1564131.53</v>
      </c>
      <c r="K695" s="25">
        <f t="shared" si="11"/>
        <v>1564131.53</v>
      </c>
    </row>
    <row r="696" spans="1:11" ht="15.95" customHeight="1" x14ac:dyDescent="0.2">
      <c r="A696" s="156" t="s">
        <v>1151</v>
      </c>
      <c r="B696" s="369" t="s">
        <v>1152</v>
      </c>
      <c r="C696" s="370"/>
      <c r="D696" s="370"/>
      <c r="E696" s="27">
        <v>0</v>
      </c>
      <c r="F696" s="27">
        <v>506002.35</v>
      </c>
      <c r="H696" s="27">
        <v>0</v>
      </c>
      <c r="J696" s="27">
        <v>506002.35</v>
      </c>
      <c r="K696" s="25">
        <f t="shared" si="11"/>
        <v>506002.35</v>
      </c>
    </row>
    <row r="697" spans="1:11" ht="15.95" customHeight="1" x14ac:dyDescent="0.2">
      <c r="A697" s="156" t="s">
        <v>1153</v>
      </c>
      <c r="B697" s="369" t="s">
        <v>1154</v>
      </c>
      <c r="C697" s="370"/>
      <c r="D697" s="370"/>
      <c r="E697" s="27">
        <v>0</v>
      </c>
      <c r="F697" s="27">
        <v>77853.41</v>
      </c>
      <c r="H697" s="27">
        <v>0</v>
      </c>
      <c r="J697" s="27">
        <v>77853.41</v>
      </c>
      <c r="K697" s="25">
        <f t="shared" si="11"/>
        <v>77853.41</v>
      </c>
    </row>
    <row r="698" spans="1:11" ht="15.95" customHeight="1" x14ac:dyDescent="0.2">
      <c r="A698" s="156" t="s">
        <v>1155</v>
      </c>
      <c r="B698" s="369" t="s">
        <v>1156</v>
      </c>
      <c r="C698" s="370"/>
      <c r="D698" s="370"/>
      <c r="E698" s="27">
        <v>0</v>
      </c>
      <c r="F698" s="27">
        <v>443757.28</v>
      </c>
      <c r="H698" s="27">
        <v>0</v>
      </c>
      <c r="J698" s="27">
        <v>443757.28</v>
      </c>
      <c r="K698" s="25">
        <f t="shared" si="11"/>
        <v>443757.28</v>
      </c>
    </row>
    <row r="699" spans="1:11" ht="15.95" customHeight="1" x14ac:dyDescent="0.2">
      <c r="A699" s="156" t="s">
        <v>1157</v>
      </c>
      <c r="B699" s="369" t="s">
        <v>1134</v>
      </c>
      <c r="C699" s="370"/>
      <c r="D699" s="370"/>
      <c r="E699" s="27">
        <v>0</v>
      </c>
      <c r="F699" s="27">
        <v>71319.509999999995</v>
      </c>
      <c r="H699" s="27">
        <v>19.27</v>
      </c>
      <c r="J699" s="27">
        <v>71300.240000000005</v>
      </c>
      <c r="K699" s="25">
        <f t="shared" si="11"/>
        <v>71300.240000000005</v>
      </c>
    </row>
    <row r="700" spans="1:11" ht="15.95" customHeight="1" x14ac:dyDescent="0.2">
      <c r="A700" s="156" t="s">
        <v>1158</v>
      </c>
      <c r="B700" s="369" t="s">
        <v>1136</v>
      </c>
      <c r="C700" s="370"/>
      <c r="D700" s="370"/>
      <c r="E700" s="27">
        <v>0</v>
      </c>
      <c r="F700" s="27">
        <v>425399.44</v>
      </c>
      <c r="H700" s="27">
        <v>0</v>
      </c>
      <c r="J700" s="27">
        <v>425399.44</v>
      </c>
      <c r="K700" s="25">
        <f t="shared" si="11"/>
        <v>425399.44</v>
      </c>
    </row>
    <row r="701" spans="1:11" ht="15.95" customHeight="1" x14ac:dyDescent="0.2">
      <c r="A701" s="156" t="s">
        <v>1159</v>
      </c>
      <c r="B701" s="369" t="s">
        <v>1140</v>
      </c>
      <c r="C701" s="370"/>
      <c r="D701" s="370"/>
      <c r="E701" s="27">
        <v>0</v>
      </c>
      <c r="F701" s="27">
        <v>4127.8100000000004</v>
      </c>
      <c r="H701" s="27">
        <v>0</v>
      </c>
      <c r="J701" s="27">
        <v>4127.8100000000004</v>
      </c>
      <c r="K701" s="25">
        <f t="shared" si="11"/>
        <v>4127.8100000000004</v>
      </c>
    </row>
    <row r="702" spans="1:11" ht="15.95" customHeight="1" x14ac:dyDescent="0.2">
      <c r="A702" s="156" t="s">
        <v>1623</v>
      </c>
      <c r="B702" s="369" t="s">
        <v>1547</v>
      </c>
      <c r="C702" s="370"/>
      <c r="D702" s="370"/>
      <c r="E702" s="27">
        <v>0</v>
      </c>
      <c r="F702" s="27">
        <v>35691</v>
      </c>
      <c r="H702" s="27">
        <v>0</v>
      </c>
      <c r="J702" s="27">
        <v>35691</v>
      </c>
      <c r="K702" s="25">
        <f t="shared" si="11"/>
        <v>35691</v>
      </c>
    </row>
    <row r="703" spans="1:11" ht="15.95" customHeight="1" x14ac:dyDescent="0.2">
      <c r="A703" s="156">
        <v>4</v>
      </c>
      <c r="B703" s="369" t="s">
        <v>1160</v>
      </c>
      <c r="C703" s="370"/>
      <c r="D703" s="370"/>
      <c r="E703" s="27">
        <v>0</v>
      </c>
      <c r="F703" s="27">
        <v>36361398.390000001</v>
      </c>
      <c r="H703" s="27">
        <v>2546397.89</v>
      </c>
      <c r="J703" s="27">
        <v>33815000.5</v>
      </c>
      <c r="K703" s="25">
        <f t="shared" ref="K703:K760" si="12">J703-E703</f>
        <v>33815000.5</v>
      </c>
    </row>
    <row r="704" spans="1:11" ht="15.95" customHeight="1" x14ac:dyDescent="0.2">
      <c r="A704" s="156">
        <v>41</v>
      </c>
      <c r="B704" s="369" t="s">
        <v>1161</v>
      </c>
      <c r="C704" s="370"/>
      <c r="D704" s="370"/>
      <c r="E704" s="27">
        <v>0</v>
      </c>
      <c r="F704" s="27">
        <v>36361398.390000001</v>
      </c>
      <c r="H704" s="27">
        <v>2546397.89</v>
      </c>
      <c r="J704" s="27">
        <v>33815000.5</v>
      </c>
      <c r="K704" s="25">
        <f t="shared" si="12"/>
        <v>33815000.5</v>
      </c>
    </row>
    <row r="705" spans="1:11" ht="15.95" customHeight="1" x14ac:dyDescent="0.2">
      <c r="A705" s="156">
        <v>411</v>
      </c>
      <c r="B705" s="369" t="s">
        <v>1161</v>
      </c>
      <c r="C705" s="370"/>
      <c r="D705" s="370"/>
      <c r="E705" s="27">
        <v>0</v>
      </c>
      <c r="F705" s="27">
        <v>36361398.390000001</v>
      </c>
      <c r="H705" s="27">
        <v>2546397.89</v>
      </c>
      <c r="J705" s="27">
        <v>33815000.5</v>
      </c>
      <c r="K705" s="25">
        <f t="shared" si="12"/>
        <v>33815000.5</v>
      </c>
    </row>
    <row r="706" spans="1:11" ht="15.95" customHeight="1" x14ac:dyDescent="0.2">
      <c r="A706" s="156">
        <v>41101</v>
      </c>
      <c r="B706" s="369" t="s">
        <v>1161</v>
      </c>
      <c r="C706" s="370"/>
      <c r="D706" s="370"/>
      <c r="E706" s="27">
        <v>0</v>
      </c>
      <c r="F706" s="27">
        <v>36361398.390000001</v>
      </c>
      <c r="H706" s="27">
        <v>2546397.89</v>
      </c>
      <c r="J706" s="27">
        <v>33815000.5</v>
      </c>
      <c r="K706" s="25">
        <f t="shared" si="12"/>
        <v>33815000.5</v>
      </c>
    </row>
    <row r="707" spans="1:11" ht="27.95" customHeight="1" x14ac:dyDescent="0.2">
      <c r="A707" s="156">
        <v>4110101</v>
      </c>
      <c r="B707" s="369" t="s">
        <v>1162</v>
      </c>
      <c r="C707" s="370"/>
      <c r="D707" s="370"/>
      <c r="E707" s="27">
        <v>0</v>
      </c>
      <c r="F707" s="27">
        <v>10470750.5</v>
      </c>
      <c r="H707" s="27">
        <v>964942.34</v>
      </c>
      <c r="J707" s="27">
        <v>9505808.1600000001</v>
      </c>
      <c r="K707" s="25">
        <f t="shared" si="12"/>
        <v>9505808.1600000001</v>
      </c>
    </row>
    <row r="708" spans="1:11" ht="15.95" customHeight="1" x14ac:dyDescent="0.2">
      <c r="A708" s="156" t="s">
        <v>1163</v>
      </c>
      <c r="B708" s="369" t="s">
        <v>1164</v>
      </c>
      <c r="C708" s="370"/>
      <c r="D708" s="370"/>
      <c r="E708" s="27">
        <v>0</v>
      </c>
      <c r="F708" s="27">
        <v>2355424.08</v>
      </c>
      <c r="H708" s="27">
        <v>82303.899999999994</v>
      </c>
      <c r="J708" s="27">
        <v>2273120.1800000002</v>
      </c>
      <c r="K708" s="25">
        <f t="shared" si="12"/>
        <v>2273120.1800000002</v>
      </c>
    </row>
    <row r="709" spans="1:11" ht="15.95" customHeight="1" x14ac:dyDescent="0.2">
      <c r="A709" s="156" t="s">
        <v>1165</v>
      </c>
      <c r="B709" s="369" t="s">
        <v>1166</v>
      </c>
      <c r="C709" s="370"/>
      <c r="D709" s="370"/>
      <c r="E709" s="27">
        <v>0</v>
      </c>
      <c r="F709" s="27">
        <v>1046556.55</v>
      </c>
      <c r="H709" s="27">
        <v>548</v>
      </c>
      <c r="J709" s="27">
        <v>1046008.55</v>
      </c>
      <c r="K709" s="25">
        <f t="shared" si="12"/>
        <v>1046008.55</v>
      </c>
    </row>
    <row r="710" spans="1:11" ht="15.95" customHeight="1" x14ac:dyDescent="0.2">
      <c r="A710" s="156" t="s">
        <v>1167</v>
      </c>
      <c r="B710" s="369" t="s">
        <v>1168</v>
      </c>
      <c r="C710" s="370"/>
      <c r="D710" s="370"/>
      <c r="E710" s="27">
        <v>0</v>
      </c>
      <c r="F710" s="27">
        <v>435403.88</v>
      </c>
      <c r="H710" s="27">
        <v>62.46</v>
      </c>
      <c r="J710" s="27">
        <v>435341.42</v>
      </c>
      <c r="K710" s="25">
        <f t="shared" si="12"/>
        <v>435341.42</v>
      </c>
    </row>
    <row r="711" spans="1:11" ht="15.95" customHeight="1" x14ac:dyDescent="0.2">
      <c r="A711" s="156" t="s">
        <v>1169</v>
      </c>
      <c r="B711" s="369" t="s">
        <v>1170</v>
      </c>
      <c r="C711" s="370"/>
      <c r="D711" s="370"/>
      <c r="E711" s="27">
        <v>0</v>
      </c>
      <c r="F711" s="27">
        <v>279216.64000000001</v>
      </c>
      <c r="H711" s="27">
        <v>40.520000000000003</v>
      </c>
      <c r="J711" s="27">
        <v>279176.12</v>
      </c>
      <c r="K711" s="25">
        <f t="shared" si="12"/>
        <v>279176.12</v>
      </c>
    </row>
    <row r="712" spans="1:11" ht="15.95" customHeight="1" x14ac:dyDescent="0.2">
      <c r="A712" s="156" t="s">
        <v>1171</v>
      </c>
      <c r="B712" s="369" t="s">
        <v>1172</v>
      </c>
      <c r="C712" s="370"/>
      <c r="D712" s="370"/>
      <c r="E712" s="27">
        <v>0</v>
      </c>
      <c r="F712" s="27">
        <v>711142.37</v>
      </c>
      <c r="H712" s="27">
        <v>375265.32</v>
      </c>
      <c r="J712" s="27">
        <v>335877.05</v>
      </c>
      <c r="K712" s="25">
        <f t="shared" si="12"/>
        <v>335877.05</v>
      </c>
    </row>
    <row r="713" spans="1:11" ht="15.95" customHeight="1" x14ac:dyDescent="0.2">
      <c r="A713" s="156" t="s">
        <v>1173</v>
      </c>
      <c r="B713" s="369" t="s">
        <v>1174</v>
      </c>
      <c r="C713" s="370"/>
      <c r="D713" s="370"/>
      <c r="E713" s="27">
        <v>0</v>
      </c>
      <c r="F713" s="27">
        <v>422846.97</v>
      </c>
      <c r="H713" s="27">
        <v>31230.39</v>
      </c>
      <c r="J713" s="27">
        <v>391616.58</v>
      </c>
      <c r="K713" s="25">
        <f t="shared" si="12"/>
        <v>391616.58</v>
      </c>
    </row>
    <row r="714" spans="1:11" ht="15.95" customHeight="1" x14ac:dyDescent="0.2">
      <c r="A714" s="156" t="s">
        <v>1175</v>
      </c>
      <c r="B714" s="369" t="s">
        <v>1176</v>
      </c>
      <c r="C714" s="370"/>
      <c r="D714" s="370"/>
      <c r="E714" s="27">
        <v>0</v>
      </c>
      <c r="F714" s="27">
        <v>1766807.6</v>
      </c>
      <c r="H714" s="27">
        <v>84657.82</v>
      </c>
      <c r="J714" s="27">
        <v>1682149.78</v>
      </c>
      <c r="K714" s="25">
        <f t="shared" si="12"/>
        <v>1682149.78</v>
      </c>
    </row>
    <row r="715" spans="1:11" ht="15.95" customHeight="1" x14ac:dyDescent="0.2">
      <c r="A715" s="156" t="s">
        <v>1177</v>
      </c>
      <c r="B715" s="369" t="s">
        <v>1178</v>
      </c>
      <c r="C715" s="370"/>
      <c r="D715" s="370"/>
      <c r="E715" s="27">
        <v>0</v>
      </c>
      <c r="F715" s="27">
        <v>483684.27</v>
      </c>
      <c r="H715" s="27">
        <v>25268.01</v>
      </c>
      <c r="J715" s="27">
        <v>458416.26</v>
      </c>
      <c r="K715" s="25">
        <f t="shared" si="12"/>
        <v>458416.26</v>
      </c>
    </row>
    <row r="716" spans="1:11" ht="15.95" customHeight="1" x14ac:dyDescent="0.2">
      <c r="A716" s="156" t="s">
        <v>1179</v>
      </c>
      <c r="B716" s="369" t="s">
        <v>1180</v>
      </c>
      <c r="C716" s="370"/>
      <c r="D716" s="370"/>
      <c r="E716" s="27">
        <v>0</v>
      </c>
      <c r="F716" s="27">
        <v>468625.43</v>
      </c>
      <c r="H716" s="27">
        <v>79826.44</v>
      </c>
      <c r="J716" s="27">
        <v>388798.99</v>
      </c>
      <c r="K716" s="25">
        <f t="shared" si="12"/>
        <v>388798.99</v>
      </c>
    </row>
    <row r="717" spans="1:11" ht="15.95" customHeight="1" x14ac:dyDescent="0.2">
      <c r="A717" s="156" t="s">
        <v>1181</v>
      </c>
      <c r="B717" s="369" t="s">
        <v>1182</v>
      </c>
      <c r="C717" s="370"/>
      <c r="D717" s="370"/>
      <c r="E717" s="27">
        <v>0</v>
      </c>
      <c r="F717" s="27">
        <v>601155.80000000005</v>
      </c>
      <c r="H717" s="27">
        <v>221186.91</v>
      </c>
      <c r="J717" s="27">
        <v>379968.89</v>
      </c>
      <c r="K717" s="25">
        <f t="shared" si="12"/>
        <v>379968.89</v>
      </c>
    </row>
    <row r="718" spans="1:11" ht="15.95" customHeight="1" x14ac:dyDescent="0.2">
      <c r="A718" s="156" t="s">
        <v>1183</v>
      </c>
      <c r="B718" s="369" t="s">
        <v>1184</v>
      </c>
      <c r="C718" s="370"/>
      <c r="D718" s="370"/>
      <c r="E718" s="27">
        <v>0</v>
      </c>
      <c r="F718" s="27">
        <v>19094.599999999999</v>
      </c>
      <c r="H718" s="27">
        <v>6119.78</v>
      </c>
      <c r="J718" s="27">
        <v>12974.82</v>
      </c>
      <c r="K718" s="25">
        <f t="shared" si="12"/>
        <v>12974.82</v>
      </c>
    </row>
    <row r="719" spans="1:11" ht="15.95" customHeight="1" x14ac:dyDescent="0.2">
      <c r="A719" s="156" t="s">
        <v>1185</v>
      </c>
      <c r="B719" s="369" t="s">
        <v>1186</v>
      </c>
      <c r="C719" s="370"/>
      <c r="D719" s="370"/>
      <c r="E719" s="27">
        <v>0</v>
      </c>
      <c r="F719" s="27">
        <v>528083.96</v>
      </c>
      <c r="H719" s="27">
        <v>27078.14</v>
      </c>
      <c r="J719" s="27">
        <v>501005.82</v>
      </c>
      <c r="K719" s="25">
        <f t="shared" si="12"/>
        <v>501005.82</v>
      </c>
    </row>
    <row r="720" spans="1:11" ht="15.95" customHeight="1" x14ac:dyDescent="0.2">
      <c r="A720" s="156" t="s">
        <v>1860</v>
      </c>
      <c r="B720" s="369" t="s">
        <v>1257</v>
      </c>
      <c r="C720" s="370"/>
      <c r="D720" s="370"/>
      <c r="E720" s="27">
        <v>0</v>
      </c>
      <c r="F720" s="27">
        <v>69425.88</v>
      </c>
      <c r="H720" s="27">
        <v>0</v>
      </c>
      <c r="J720" s="27">
        <v>69425.88</v>
      </c>
      <c r="K720" s="25">
        <f t="shared" si="12"/>
        <v>69425.88</v>
      </c>
    </row>
    <row r="721" spans="1:11" ht="15.95" customHeight="1" x14ac:dyDescent="0.2">
      <c r="A721" s="156" t="s">
        <v>1187</v>
      </c>
      <c r="B721" s="369" t="s">
        <v>1188</v>
      </c>
      <c r="C721" s="370"/>
      <c r="D721" s="370"/>
      <c r="E721" s="27">
        <v>0</v>
      </c>
      <c r="F721" s="27">
        <v>196531.11</v>
      </c>
      <c r="H721" s="27">
        <v>6160.28</v>
      </c>
      <c r="J721" s="27">
        <v>190370.83</v>
      </c>
      <c r="K721" s="25">
        <f t="shared" si="12"/>
        <v>190370.83</v>
      </c>
    </row>
    <row r="722" spans="1:11" ht="15.95" customHeight="1" x14ac:dyDescent="0.2">
      <c r="A722" s="156" t="s">
        <v>1189</v>
      </c>
      <c r="B722" s="369" t="s">
        <v>1190</v>
      </c>
      <c r="C722" s="370"/>
      <c r="D722" s="370"/>
      <c r="E722" s="27">
        <v>0</v>
      </c>
      <c r="F722" s="27">
        <v>9108.82</v>
      </c>
      <c r="H722" s="27">
        <v>0</v>
      </c>
      <c r="J722" s="27">
        <v>9108.82</v>
      </c>
      <c r="K722" s="25">
        <f t="shared" si="12"/>
        <v>9108.82</v>
      </c>
    </row>
    <row r="723" spans="1:11" ht="15.95" customHeight="1" x14ac:dyDescent="0.2">
      <c r="A723" s="156" t="s">
        <v>1191</v>
      </c>
      <c r="B723" s="369" t="s">
        <v>1192</v>
      </c>
      <c r="C723" s="370"/>
      <c r="D723" s="370"/>
      <c r="E723" s="27">
        <v>0</v>
      </c>
      <c r="F723" s="27">
        <v>9402.7199999999993</v>
      </c>
      <c r="H723" s="27">
        <v>0</v>
      </c>
      <c r="J723" s="27">
        <v>9402.7199999999993</v>
      </c>
      <c r="K723" s="25">
        <f t="shared" si="12"/>
        <v>9402.7199999999993</v>
      </c>
    </row>
    <row r="724" spans="1:11" ht="15.95" customHeight="1" x14ac:dyDescent="0.2">
      <c r="A724" s="156" t="s">
        <v>1193</v>
      </c>
      <c r="B724" s="369" t="s">
        <v>1194</v>
      </c>
      <c r="C724" s="370"/>
      <c r="D724" s="370"/>
      <c r="E724" s="27">
        <v>0</v>
      </c>
      <c r="F724" s="27">
        <v>93370.01</v>
      </c>
      <c r="H724" s="27">
        <v>15.01</v>
      </c>
      <c r="J724" s="27">
        <v>93355</v>
      </c>
      <c r="K724" s="25">
        <f t="shared" si="12"/>
        <v>93355</v>
      </c>
    </row>
    <row r="725" spans="1:11" ht="15.95" customHeight="1" x14ac:dyDescent="0.2">
      <c r="A725" s="156" t="s">
        <v>1195</v>
      </c>
      <c r="B725" s="369" t="s">
        <v>1196</v>
      </c>
      <c r="C725" s="370"/>
      <c r="D725" s="370"/>
      <c r="E725" s="27">
        <v>0</v>
      </c>
      <c r="F725" s="27">
        <v>17099.61</v>
      </c>
      <c r="H725" s="27">
        <v>5280.03</v>
      </c>
      <c r="J725" s="27">
        <v>11819.58</v>
      </c>
      <c r="K725" s="25">
        <f t="shared" si="12"/>
        <v>11819.58</v>
      </c>
    </row>
    <row r="726" spans="1:11" ht="15.95" customHeight="1" x14ac:dyDescent="0.2">
      <c r="A726" s="156" t="s">
        <v>1197</v>
      </c>
      <c r="B726" s="369" t="s">
        <v>1198</v>
      </c>
      <c r="C726" s="370"/>
      <c r="D726" s="370"/>
      <c r="E726" s="27">
        <v>0</v>
      </c>
      <c r="F726" s="27">
        <v>506695.61</v>
      </c>
      <c r="H726" s="27">
        <v>19899.330000000002</v>
      </c>
      <c r="J726" s="27">
        <v>486796.28</v>
      </c>
      <c r="K726" s="25">
        <f t="shared" si="12"/>
        <v>486796.28</v>
      </c>
    </row>
    <row r="727" spans="1:11" ht="15.95" customHeight="1" x14ac:dyDescent="0.2">
      <c r="A727" s="156" t="s">
        <v>1199</v>
      </c>
      <c r="B727" s="369" t="s">
        <v>1200</v>
      </c>
      <c r="C727" s="370"/>
      <c r="D727" s="370"/>
      <c r="E727" s="27">
        <v>0</v>
      </c>
      <c r="F727" s="27">
        <v>203701.32</v>
      </c>
      <c r="H727" s="27">
        <v>0</v>
      </c>
      <c r="J727" s="27">
        <v>203701.32</v>
      </c>
      <c r="K727" s="25">
        <f t="shared" si="12"/>
        <v>203701.32</v>
      </c>
    </row>
    <row r="728" spans="1:11" ht="15.95" customHeight="1" x14ac:dyDescent="0.2">
      <c r="A728" s="156" t="s">
        <v>1887</v>
      </c>
      <c r="B728" s="369" t="s">
        <v>1559</v>
      </c>
      <c r="C728" s="370"/>
      <c r="D728" s="370"/>
      <c r="E728" s="27">
        <v>0</v>
      </c>
      <c r="F728" s="27">
        <v>15325.71</v>
      </c>
      <c r="H728" s="27">
        <v>0</v>
      </c>
      <c r="J728" s="27">
        <v>15325.71</v>
      </c>
      <c r="K728" s="25">
        <f t="shared" si="12"/>
        <v>15325.71</v>
      </c>
    </row>
    <row r="729" spans="1:11" ht="15.95" customHeight="1" x14ac:dyDescent="0.2">
      <c r="A729" s="156" t="s">
        <v>1888</v>
      </c>
      <c r="B729" s="369" t="s">
        <v>1283</v>
      </c>
      <c r="C729" s="370"/>
      <c r="D729" s="370"/>
      <c r="E729" s="27">
        <v>0</v>
      </c>
      <c r="F729" s="27">
        <v>232047.56</v>
      </c>
      <c r="H729" s="27">
        <v>0</v>
      </c>
      <c r="J729" s="27">
        <v>232047.56</v>
      </c>
      <c r="K729" s="25">
        <f t="shared" si="12"/>
        <v>232047.56</v>
      </c>
    </row>
    <row r="730" spans="1:11" ht="15.95" customHeight="1" x14ac:dyDescent="0.2">
      <c r="A730" s="156">
        <v>4110102</v>
      </c>
      <c r="B730" s="369" t="s">
        <v>1548</v>
      </c>
      <c r="C730" s="370"/>
      <c r="D730" s="370"/>
      <c r="E730" s="27">
        <v>0</v>
      </c>
      <c r="F730" s="27">
        <v>12288</v>
      </c>
      <c r="H730" s="27">
        <v>0</v>
      </c>
      <c r="J730" s="27">
        <v>12288</v>
      </c>
      <c r="K730" s="25">
        <f t="shared" si="12"/>
        <v>12288</v>
      </c>
    </row>
    <row r="731" spans="1:11" ht="15.95" customHeight="1" x14ac:dyDescent="0.2">
      <c r="A731" s="156" t="s">
        <v>1624</v>
      </c>
      <c r="B731" s="369" t="s">
        <v>1203</v>
      </c>
      <c r="C731" s="370"/>
      <c r="D731" s="370"/>
      <c r="E731" s="27">
        <v>0</v>
      </c>
      <c r="F731" s="27">
        <v>12118</v>
      </c>
      <c r="H731" s="27">
        <v>0</v>
      </c>
      <c r="J731" s="27">
        <v>12118</v>
      </c>
      <c r="K731" s="25">
        <f t="shared" si="12"/>
        <v>12118</v>
      </c>
    </row>
    <row r="732" spans="1:11" ht="15.95" customHeight="1" x14ac:dyDescent="0.2">
      <c r="A732" s="156" t="s">
        <v>1549</v>
      </c>
      <c r="B732" s="369" t="s">
        <v>1300</v>
      </c>
      <c r="C732" s="370"/>
      <c r="D732" s="370"/>
      <c r="E732" s="27">
        <v>0</v>
      </c>
      <c r="F732" s="27">
        <v>170</v>
      </c>
      <c r="H732" s="27">
        <v>0</v>
      </c>
      <c r="J732" s="27">
        <v>170</v>
      </c>
      <c r="K732" s="25">
        <f t="shared" si="12"/>
        <v>170</v>
      </c>
    </row>
    <row r="733" spans="1:11" ht="15.95" customHeight="1" x14ac:dyDescent="0.2">
      <c r="A733" s="156">
        <v>4110103</v>
      </c>
      <c r="B733" s="369" t="s">
        <v>1201</v>
      </c>
      <c r="C733" s="370"/>
      <c r="D733" s="370"/>
      <c r="E733" s="27">
        <v>0</v>
      </c>
      <c r="F733" s="27">
        <v>7225907.6200000001</v>
      </c>
      <c r="H733" s="27">
        <v>766591.8</v>
      </c>
      <c r="J733" s="27">
        <v>6459315.8200000003</v>
      </c>
      <c r="K733" s="25">
        <f t="shared" si="12"/>
        <v>6459315.8200000003</v>
      </c>
    </row>
    <row r="734" spans="1:11" ht="15.95" customHeight="1" x14ac:dyDescent="0.2">
      <c r="A734" s="156" t="s">
        <v>1202</v>
      </c>
      <c r="B734" s="369" t="s">
        <v>1203</v>
      </c>
      <c r="C734" s="370"/>
      <c r="D734" s="370"/>
      <c r="E734" s="27">
        <v>0</v>
      </c>
      <c r="F734" s="27">
        <v>13695</v>
      </c>
      <c r="H734" s="27">
        <v>0</v>
      </c>
      <c r="J734" s="27">
        <v>13695</v>
      </c>
      <c r="K734" s="25">
        <f t="shared" si="12"/>
        <v>13695</v>
      </c>
    </row>
    <row r="735" spans="1:11" ht="15.95" customHeight="1" x14ac:dyDescent="0.2">
      <c r="A735" s="156" t="s">
        <v>1204</v>
      </c>
      <c r="B735" s="369" t="s">
        <v>1205</v>
      </c>
      <c r="C735" s="370"/>
      <c r="D735" s="370"/>
      <c r="E735" s="27">
        <v>0</v>
      </c>
      <c r="F735" s="27">
        <v>154169.26</v>
      </c>
      <c r="H735" s="27">
        <v>0</v>
      </c>
      <c r="J735" s="27">
        <v>154169.26</v>
      </c>
      <c r="K735" s="25">
        <f t="shared" si="12"/>
        <v>154169.26</v>
      </c>
    </row>
    <row r="736" spans="1:11" ht="15.95" customHeight="1" x14ac:dyDescent="0.2">
      <c r="A736" s="156" t="s">
        <v>1206</v>
      </c>
      <c r="B736" s="369" t="s">
        <v>1207</v>
      </c>
      <c r="C736" s="370"/>
      <c r="D736" s="370"/>
      <c r="E736" s="27">
        <v>0</v>
      </c>
      <c r="F736" s="27">
        <v>896287.19</v>
      </c>
      <c r="H736" s="27">
        <v>0</v>
      </c>
      <c r="J736" s="27">
        <v>896287.19</v>
      </c>
      <c r="K736" s="25">
        <f t="shared" si="12"/>
        <v>896287.19</v>
      </c>
    </row>
    <row r="737" spans="1:11" ht="15.95" customHeight="1" x14ac:dyDescent="0.2">
      <c r="A737" s="156" t="s">
        <v>1889</v>
      </c>
      <c r="B737" s="369" t="s">
        <v>1890</v>
      </c>
      <c r="C737" s="370"/>
      <c r="D737" s="370"/>
      <c r="E737" s="27">
        <v>0</v>
      </c>
      <c r="F737" s="27">
        <v>14501.44</v>
      </c>
      <c r="H737" s="27">
        <v>0</v>
      </c>
      <c r="J737" s="27">
        <v>14501.44</v>
      </c>
      <c r="K737" s="25">
        <f t="shared" si="12"/>
        <v>14501.44</v>
      </c>
    </row>
    <row r="738" spans="1:11" ht="15.95" customHeight="1" x14ac:dyDescent="0.2">
      <c r="A738" s="156" t="s">
        <v>1550</v>
      </c>
      <c r="B738" s="369" t="s">
        <v>1551</v>
      </c>
      <c r="C738" s="370"/>
      <c r="D738" s="370"/>
      <c r="E738" s="27">
        <v>0</v>
      </c>
      <c r="F738" s="27">
        <v>441.79</v>
      </c>
      <c r="H738" s="27">
        <v>0</v>
      </c>
      <c r="J738" s="27">
        <v>441.79</v>
      </c>
      <c r="K738" s="25">
        <f t="shared" si="12"/>
        <v>441.79</v>
      </c>
    </row>
    <row r="739" spans="1:11" ht="15.95" customHeight="1" x14ac:dyDescent="0.2">
      <c r="A739" s="156" t="s">
        <v>1208</v>
      </c>
      <c r="B739" s="369" t="s">
        <v>1209</v>
      </c>
      <c r="C739" s="370"/>
      <c r="D739" s="370"/>
      <c r="E739" s="27">
        <v>0</v>
      </c>
      <c r="F739" s="27">
        <v>1980095.27</v>
      </c>
      <c r="H739" s="27">
        <v>9500</v>
      </c>
      <c r="J739" s="27">
        <v>1970595.27</v>
      </c>
      <c r="K739" s="25">
        <f t="shared" si="12"/>
        <v>1970595.27</v>
      </c>
    </row>
    <row r="740" spans="1:11" ht="15.95" customHeight="1" x14ac:dyDescent="0.2">
      <c r="A740" s="156" t="s">
        <v>1552</v>
      </c>
      <c r="B740" s="369" t="s">
        <v>1306</v>
      </c>
      <c r="C740" s="370"/>
      <c r="D740" s="370"/>
      <c r="E740" s="27">
        <v>0</v>
      </c>
      <c r="F740" s="27">
        <v>743834.87</v>
      </c>
      <c r="H740" s="27">
        <v>743834.87</v>
      </c>
      <c r="J740" s="27">
        <v>0</v>
      </c>
      <c r="K740" s="25">
        <f t="shared" si="12"/>
        <v>0</v>
      </c>
    </row>
    <row r="741" spans="1:11" ht="15.95" customHeight="1" x14ac:dyDescent="0.2">
      <c r="A741" s="156" t="s">
        <v>1553</v>
      </c>
      <c r="B741" s="369" t="s">
        <v>1554</v>
      </c>
      <c r="C741" s="370"/>
      <c r="D741" s="370"/>
      <c r="E741" s="27">
        <v>0</v>
      </c>
      <c r="F741" s="27">
        <v>104270</v>
      </c>
      <c r="H741" s="27">
        <v>0</v>
      </c>
      <c r="J741" s="27">
        <v>104270</v>
      </c>
      <c r="K741" s="25">
        <f t="shared" si="12"/>
        <v>104270</v>
      </c>
    </row>
    <row r="742" spans="1:11" ht="15.95" customHeight="1" x14ac:dyDescent="0.2">
      <c r="A742" s="156" t="s">
        <v>1214</v>
      </c>
      <c r="B742" s="369" t="s">
        <v>1215</v>
      </c>
      <c r="C742" s="370"/>
      <c r="D742" s="370"/>
      <c r="E742" s="27">
        <v>0</v>
      </c>
      <c r="F742" s="27">
        <v>47709.67</v>
      </c>
      <c r="H742" s="27">
        <v>9924.2900000000009</v>
      </c>
      <c r="J742" s="27">
        <v>37785.379999999997</v>
      </c>
      <c r="K742" s="25">
        <f t="shared" si="12"/>
        <v>37785.379999999997</v>
      </c>
    </row>
    <row r="743" spans="1:11" ht="15.95" customHeight="1" x14ac:dyDescent="0.2">
      <c r="A743" s="156" t="s">
        <v>1216</v>
      </c>
      <c r="B743" s="369" t="s">
        <v>1217</v>
      </c>
      <c r="C743" s="370"/>
      <c r="D743" s="370"/>
      <c r="E743" s="27">
        <v>0</v>
      </c>
      <c r="F743" s="27">
        <v>943500</v>
      </c>
      <c r="H743" s="27">
        <v>0</v>
      </c>
      <c r="J743" s="27">
        <v>943500</v>
      </c>
      <c r="K743" s="25">
        <f t="shared" si="12"/>
        <v>943500</v>
      </c>
    </row>
    <row r="744" spans="1:11" ht="15.95" customHeight="1" x14ac:dyDescent="0.2">
      <c r="A744" s="156" t="s">
        <v>1218</v>
      </c>
      <c r="B744" s="369" t="s">
        <v>1219</v>
      </c>
      <c r="C744" s="370"/>
      <c r="D744" s="370"/>
      <c r="E744" s="27">
        <v>0</v>
      </c>
      <c r="F744" s="27">
        <v>1764431.13</v>
      </c>
      <c r="H744" s="27">
        <v>0</v>
      </c>
      <c r="J744" s="27">
        <v>1764431.13</v>
      </c>
      <c r="K744" s="25">
        <f t="shared" si="12"/>
        <v>1764431.13</v>
      </c>
    </row>
    <row r="745" spans="1:11" ht="15.95" customHeight="1" x14ac:dyDescent="0.2">
      <c r="A745" s="156" t="s">
        <v>1220</v>
      </c>
      <c r="B745" s="369" t="s">
        <v>1221</v>
      </c>
      <c r="C745" s="370"/>
      <c r="D745" s="370"/>
      <c r="E745" s="27">
        <v>0</v>
      </c>
      <c r="F745" s="27">
        <v>562972</v>
      </c>
      <c r="H745" s="27">
        <v>3332.64</v>
      </c>
      <c r="J745" s="27">
        <v>559639.36</v>
      </c>
      <c r="K745" s="25">
        <f t="shared" si="12"/>
        <v>559639.36</v>
      </c>
    </row>
    <row r="746" spans="1:11" ht="15.95" customHeight="1" x14ac:dyDescent="0.2">
      <c r="A746" s="156">
        <v>4110104</v>
      </c>
      <c r="B746" s="369" t="s">
        <v>1222</v>
      </c>
      <c r="C746" s="370"/>
      <c r="D746" s="370"/>
      <c r="E746" s="27">
        <v>0</v>
      </c>
      <c r="F746" s="27">
        <v>19129.150000000001</v>
      </c>
      <c r="H746" s="27">
        <v>0</v>
      </c>
      <c r="J746" s="27">
        <v>19129.150000000001</v>
      </c>
      <c r="K746" s="25">
        <f t="shared" si="12"/>
        <v>19129.150000000001</v>
      </c>
    </row>
    <row r="747" spans="1:11" ht="15.95" customHeight="1" x14ac:dyDescent="0.2">
      <c r="A747" s="156" t="s">
        <v>1555</v>
      </c>
      <c r="B747" s="369" t="s">
        <v>188</v>
      </c>
      <c r="C747" s="370"/>
      <c r="D747" s="370"/>
      <c r="E747" s="27">
        <v>0</v>
      </c>
      <c r="F747" s="27">
        <v>1074.23</v>
      </c>
      <c r="H747" s="27">
        <v>0</v>
      </c>
      <c r="J747" s="27">
        <v>1074.23</v>
      </c>
      <c r="K747" s="25">
        <f t="shared" si="12"/>
        <v>1074.23</v>
      </c>
    </row>
    <row r="748" spans="1:11" ht="15.95" customHeight="1" x14ac:dyDescent="0.2">
      <c r="A748" s="156" t="s">
        <v>1225</v>
      </c>
      <c r="B748" s="369" t="s">
        <v>182</v>
      </c>
      <c r="C748" s="370"/>
      <c r="D748" s="370"/>
      <c r="E748" s="27">
        <v>0</v>
      </c>
      <c r="F748" s="27">
        <v>3522.48</v>
      </c>
      <c r="H748" s="27">
        <v>0</v>
      </c>
      <c r="J748" s="27">
        <v>3522.48</v>
      </c>
      <c r="K748" s="25">
        <f t="shared" si="12"/>
        <v>3522.48</v>
      </c>
    </row>
    <row r="749" spans="1:11" ht="15.95" customHeight="1" x14ac:dyDescent="0.2">
      <c r="A749" s="156" t="s">
        <v>1228</v>
      </c>
      <c r="B749" s="369" t="s">
        <v>194</v>
      </c>
      <c r="C749" s="370"/>
      <c r="D749" s="370"/>
      <c r="E749" s="27">
        <v>0</v>
      </c>
      <c r="F749" s="27">
        <v>10075.56</v>
      </c>
      <c r="H749" s="27">
        <v>0</v>
      </c>
      <c r="J749" s="27">
        <v>10075.56</v>
      </c>
      <c r="K749" s="25">
        <f t="shared" si="12"/>
        <v>10075.56</v>
      </c>
    </row>
    <row r="750" spans="1:11" ht="15.95" customHeight="1" x14ac:dyDescent="0.2">
      <c r="A750" s="156" t="s">
        <v>1229</v>
      </c>
      <c r="B750" s="369" t="s">
        <v>1230</v>
      </c>
      <c r="C750" s="370"/>
      <c r="D750" s="370"/>
      <c r="E750" s="27">
        <v>0</v>
      </c>
      <c r="F750" s="27">
        <v>929</v>
      </c>
      <c r="H750" s="27">
        <v>0</v>
      </c>
      <c r="J750" s="27">
        <v>929</v>
      </c>
      <c r="K750" s="25">
        <f t="shared" si="12"/>
        <v>929</v>
      </c>
    </row>
    <row r="751" spans="1:11" ht="15.95" customHeight="1" x14ac:dyDescent="0.2">
      <c r="A751" s="156" t="s">
        <v>1233</v>
      </c>
      <c r="B751" s="369" t="s">
        <v>1234</v>
      </c>
      <c r="C751" s="370"/>
      <c r="D751" s="370"/>
      <c r="E751" s="27">
        <v>0</v>
      </c>
      <c r="F751" s="27">
        <v>2797.89</v>
      </c>
      <c r="H751" s="27">
        <v>0</v>
      </c>
      <c r="J751" s="27">
        <v>2797.89</v>
      </c>
      <c r="K751" s="25">
        <f t="shared" si="12"/>
        <v>2797.89</v>
      </c>
    </row>
    <row r="752" spans="1:11" ht="15.95" customHeight="1" x14ac:dyDescent="0.2">
      <c r="A752" s="156" t="s">
        <v>1235</v>
      </c>
      <c r="B752" s="369" t="s">
        <v>1236</v>
      </c>
      <c r="C752" s="370"/>
      <c r="D752" s="370"/>
      <c r="E752" s="27">
        <v>0</v>
      </c>
      <c r="F752" s="27">
        <v>729.99</v>
      </c>
      <c r="H752" s="27">
        <v>0</v>
      </c>
      <c r="J752" s="27">
        <v>729.99</v>
      </c>
      <c r="K752" s="25">
        <f t="shared" si="12"/>
        <v>729.99</v>
      </c>
    </row>
    <row r="753" spans="1:11" ht="15.95" customHeight="1" x14ac:dyDescent="0.2">
      <c r="A753" s="156">
        <v>4110105</v>
      </c>
      <c r="B753" s="369" t="s">
        <v>1237</v>
      </c>
      <c r="C753" s="370"/>
      <c r="D753" s="370"/>
      <c r="E753" s="27">
        <v>0</v>
      </c>
      <c r="F753" s="27">
        <v>18633323.120000001</v>
      </c>
      <c r="H753" s="27">
        <v>814863.75</v>
      </c>
      <c r="J753" s="27">
        <v>17818459.370000001</v>
      </c>
      <c r="K753" s="25">
        <f t="shared" si="12"/>
        <v>17818459.370000001</v>
      </c>
    </row>
    <row r="754" spans="1:11" ht="15.95" customHeight="1" x14ac:dyDescent="0.2">
      <c r="A754" s="156" t="s">
        <v>1238</v>
      </c>
      <c r="B754" s="369" t="s">
        <v>1239</v>
      </c>
      <c r="C754" s="370"/>
      <c r="D754" s="370"/>
      <c r="E754" s="27">
        <v>0</v>
      </c>
      <c r="F754" s="27">
        <v>361898.35</v>
      </c>
      <c r="H754" s="27">
        <v>0</v>
      </c>
      <c r="J754" s="27">
        <v>361898.35</v>
      </c>
      <c r="K754" s="25">
        <f t="shared" si="12"/>
        <v>361898.35</v>
      </c>
    </row>
    <row r="755" spans="1:11" ht="15.95" customHeight="1" x14ac:dyDescent="0.2">
      <c r="A755" s="156" t="s">
        <v>1240</v>
      </c>
      <c r="B755" s="369" t="s">
        <v>1241</v>
      </c>
      <c r="C755" s="370"/>
      <c r="D755" s="370"/>
      <c r="E755" s="27">
        <v>0</v>
      </c>
      <c r="F755" s="27">
        <v>3065466.81</v>
      </c>
      <c r="H755" s="27">
        <v>206729</v>
      </c>
      <c r="J755" s="27">
        <v>2858737.81</v>
      </c>
      <c r="K755" s="25">
        <f t="shared" si="12"/>
        <v>2858737.81</v>
      </c>
    </row>
    <row r="756" spans="1:11" ht="15.95" customHeight="1" x14ac:dyDescent="0.2">
      <c r="A756" s="156" t="s">
        <v>1242</v>
      </c>
      <c r="B756" s="369" t="s">
        <v>1243</v>
      </c>
      <c r="C756" s="370"/>
      <c r="D756" s="370"/>
      <c r="E756" s="27">
        <v>0</v>
      </c>
      <c r="F756" s="27">
        <v>666000</v>
      </c>
      <c r="H756" s="27">
        <v>0</v>
      </c>
      <c r="J756" s="27">
        <v>666000</v>
      </c>
      <c r="K756" s="25">
        <f t="shared" si="12"/>
        <v>666000</v>
      </c>
    </row>
    <row r="757" spans="1:11" ht="15.95" customHeight="1" x14ac:dyDescent="0.2">
      <c r="A757" s="156" t="s">
        <v>1244</v>
      </c>
      <c r="B757" s="369" t="s">
        <v>1245</v>
      </c>
      <c r="C757" s="370"/>
      <c r="D757" s="370"/>
      <c r="E757" s="27">
        <v>0</v>
      </c>
      <c r="F757" s="27">
        <v>85500</v>
      </c>
      <c r="H757" s="27">
        <v>0</v>
      </c>
      <c r="J757" s="27">
        <v>85500</v>
      </c>
      <c r="K757" s="25">
        <f t="shared" si="12"/>
        <v>85500</v>
      </c>
    </row>
    <row r="758" spans="1:11" ht="15.95" customHeight="1" x14ac:dyDescent="0.2">
      <c r="A758" s="156" t="s">
        <v>1556</v>
      </c>
      <c r="B758" s="369" t="s">
        <v>1557</v>
      </c>
      <c r="C758" s="370"/>
      <c r="D758" s="370"/>
      <c r="E758" s="27">
        <v>0</v>
      </c>
      <c r="F758" s="27">
        <v>5524629.4199999999</v>
      </c>
      <c r="H758" s="27">
        <v>0</v>
      </c>
      <c r="J758" s="27">
        <v>5524629.4199999999</v>
      </c>
      <c r="K758" s="25">
        <f t="shared" si="12"/>
        <v>5524629.4199999999</v>
      </c>
    </row>
    <row r="759" spans="1:11" ht="15.95" customHeight="1" x14ac:dyDescent="0.2">
      <c r="A759" s="156" t="s">
        <v>1246</v>
      </c>
      <c r="B759" s="369" t="s">
        <v>1247</v>
      </c>
      <c r="C759" s="370"/>
      <c r="D759" s="370"/>
      <c r="E759" s="27">
        <v>0</v>
      </c>
      <c r="F759" s="27">
        <v>0</v>
      </c>
      <c r="H759" s="27">
        <v>608134.75</v>
      </c>
      <c r="J759" s="27">
        <v>-608134.75</v>
      </c>
      <c r="K759" s="25">
        <f t="shared" si="12"/>
        <v>-608134.75</v>
      </c>
    </row>
    <row r="760" spans="1:11" ht="15.95" customHeight="1" x14ac:dyDescent="0.2">
      <c r="A760" s="156" t="s">
        <v>1248</v>
      </c>
      <c r="B760" s="369" t="s">
        <v>1249</v>
      </c>
      <c r="C760" s="370"/>
      <c r="D760" s="370"/>
      <c r="E760" s="27">
        <v>0</v>
      </c>
      <c r="F760" s="27">
        <v>8929828.5399999991</v>
      </c>
      <c r="H760" s="27">
        <v>0</v>
      </c>
      <c r="J760" s="27">
        <v>8929828.5399999991</v>
      </c>
      <c r="K760" s="25">
        <f t="shared" si="12"/>
        <v>8929828.5399999991</v>
      </c>
    </row>
    <row r="761" spans="1:11" ht="27.95" customHeight="1" x14ac:dyDescent="0.2">
      <c r="A761" s="156">
        <v>5</v>
      </c>
      <c r="B761" s="369" t="s">
        <v>1250</v>
      </c>
      <c r="C761" s="370"/>
      <c r="D761" s="370"/>
      <c r="E761" s="27">
        <v>0</v>
      </c>
      <c r="F761" s="27">
        <v>25959592.239999998</v>
      </c>
      <c r="H761" s="27">
        <v>1227018.9099999999</v>
      </c>
      <c r="J761" s="27">
        <v>24732573.329999998</v>
      </c>
      <c r="K761" s="25">
        <f t="shared" ref="K761:K815" si="13">J761-E761</f>
        <v>24732573.329999998</v>
      </c>
    </row>
    <row r="762" spans="1:11" ht="15.95" customHeight="1" x14ac:dyDescent="0.2">
      <c r="A762" s="156">
        <v>51</v>
      </c>
      <c r="B762" s="369" t="s">
        <v>1250</v>
      </c>
      <c r="C762" s="370"/>
      <c r="D762" s="370"/>
      <c r="E762" s="27">
        <v>0</v>
      </c>
      <c r="F762" s="27">
        <v>22943653.52</v>
      </c>
      <c r="H762" s="27">
        <v>849475.41</v>
      </c>
      <c r="J762" s="27">
        <v>22094178.109999999</v>
      </c>
      <c r="K762" s="25">
        <f t="shared" si="13"/>
        <v>22094178.109999999</v>
      </c>
    </row>
    <row r="763" spans="1:11" ht="15.95" customHeight="1" x14ac:dyDescent="0.2">
      <c r="A763" s="156">
        <v>511</v>
      </c>
      <c r="B763" s="369" t="s">
        <v>1251</v>
      </c>
      <c r="C763" s="370"/>
      <c r="D763" s="370"/>
      <c r="E763" s="27">
        <v>0</v>
      </c>
      <c r="F763" s="27">
        <v>22943653.52</v>
      </c>
      <c r="H763" s="27">
        <v>849475.41</v>
      </c>
      <c r="J763" s="27">
        <v>22094178.109999999</v>
      </c>
      <c r="K763" s="25">
        <f t="shared" si="13"/>
        <v>22094178.109999999</v>
      </c>
    </row>
    <row r="764" spans="1:11" ht="15.95" customHeight="1" x14ac:dyDescent="0.2">
      <c r="A764" s="156">
        <v>51101</v>
      </c>
      <c r="B764" s="369" t="s">
        <v>1251</v>
      </c>
      <c r="C764" s="370"/>
      <c r="D764" s="370"/>
      <c r="E764" s="27">
        <v>0</v>
      </c>
      <c r="F764" s="27">
        <v>22943653.52</v>
      </c>
      <c r="H764" s="27">
        <v>849475.41</v>
      </c>
      <c r="J764" s="27">
        <v>22094178.109999999</v>
      </c>
      <c r="K764" s="25">
        <f t="shared" si="13"/>
        <v>22094178.109999999</v>
      </c>
    </row>
    <row r="765" spans="1:11" ht="15.95" customHeight="1" x14ac:dyDescent="0.2">
      <c r="A765" s="156">
        <v>5110101</v>
      </c>
      <c r="B765" s="369" t="s">
        <v>1252</v>
      </c>
      <c r="C765" s="370"/>
      <c r="D765" s="370"/>
      <c r="E765" s="27">
        <v>0</v>
      </c>
      <c r="F765" s="27">
        <v>11644231.279999999</v>
      </c>
      <c r="H765" s="27">
        <v>774318.96</v>
      </c>
      <c r="J765" s="27">
        <v>10869912.32</v>
      </c>
      <c r="K765" s="25">
        <f t="shared" si="13"/>
        <v>10869912.32</v>
      </c>
    </row>
    <row r="766" spans="1:11" ht="15.95" customHeight="1" x14ac:dyDescent="0.2">
      <c r="A766" s="156" t="s">
        <v>1253</v>
      </c>
      <c r="B766" s="369" t="s">
        <v>1164</v>
      </c>
      <c r="C766" s="370"/>
      <c r="D766" s="370"/>
      <c r="E766" s="27">
        <v>0</v>
      </c>
      <c r="F766" s="27">
        <v>3495550.21</v>
      </c>
      <c r="H766" s="27">
        <v>68203.55</v>
      </c>
      <c r="J766" s="27">
        <v>3427346.66</v>
      </c>
      <c r="K766" s="25">
        <f t="shared" si="13"/>
        <v>3427346.66</v>
      </c>
    </row>
    <row r="767" spans="1:11" ht="15.95" customHeight="1" x14ac:dyDescent="0.2">
      <c r="A767" s="156" t="s">
        <v>1891</v>
      </c>
      <c r="B767" s="369" t="s">
        <v>1168</v>
      </c>
      <c r="C767" s="370"/>
      <c r="D767" s="370"/>
      <c r="E767" s="27">
        <v>0</v>
      </c>
      <c r="F767" s="27">
        <v>2561.17</v>
      </c>
      <c r="H767" s="27">
        <v>0</v>
      </c>
      <c r="J767" s="27">
        <v>2561.17</v>
      </c>
      <c r="K767" s="25">
        <f t="shared" si="13"/>
        <v>2561.17</v>
      </c>
    </row>
    <row r="768" spans="1:11" ht="15.95" customHeight="1" x14ac:dyDescent="0.2">
      <c r="A768" s="156" t="s">
        <v>1254</v>
      </c>
      <c r="B768" s="369" t="s">
        <v>1166</v>
      </c>
      <c r="C768" s="370"/>
      <c r="D768" s="370"/>
      <c r="E768" s="27">
        <v>0</v>
      </c>
      <c r="F768" s="27">
        <v>1194990.17</v>
      </c>
      <c r="H768" s="27">
        <v>843.2</v>
      </c>
      <c r="J768" s="27">
        <v>1194146.97</v>
      </c>
      <c r="K768" s="25">
        <f t="shared" si="13"/>
        <v>1194146.97</v>
      </c>
    </row>
    <row r="769" spans="1:11" ht="15.95" customHeight="1" x14ac:dyDescent="0.2">
      <c r="A769" s="156" t="s">
        <v>1255</v>
      </c>
      <c r="B769" s="369" t="s">
        <v>1186</v>
      </c>
      <c r="C769" s="370"/>
      <c r="D769" s="370"/>
      <c r="E769" s="27">
        <v>0</v>
      </c>
      <c r="F769" s="27">
        <v>308136.96999999997</v>
      </c>
      <c r="H769" s="27">
        <v>18938.63</v>
      </c>
      <c r="J769" s="27">
        <v>289198.34000000003</v>
      </c>
      <c r="K769" s="25">
        <f t="shared" si="13"/>
        <v>289198.34000000003</v>
      </c>
    </row>
    <row r="770" spans="1:11" ht="15.95" customHeight="1" x14ac:dyDescent="0.2">
      <c r="A770" s="156" t="s">
        <v>1258</v>
      </c>
      <c r="B770" s="369" t="s">
        <v>1176</v>
      </c>
      <c r="C770" s="370"/>
      <c r="D770" s="370"/>
      <c r="E770" s="27">
        <v>0</v>
      </c>
      <c r="F770" s="27">
        <v>1964243.91</v>
      </c>
      <c r="H770" s="27">
        <v>79118.33</v>
      </c>
      <c r="J770" s="27">
        <v>1885125.58</v>
      </c>
      <c r="K770" s="25">
        <f t="shared" si="13"/>
        <v>1885125.58</v>
      </c>
    </row>
    <row r="771" spans="1:11" ht="15.95" customHeight="1" x14ac:dyDescent="0.2">
      <c r="A771" s="156" t="s">
        <v>1259</v>
      </c>
      <c r="B771" s="369" t="s">
        <v>1178</v>
      </c>
      <c r="C771" s="370"/>
      <c r="D771" s="370"/>
      <c r="E771" s="27">
        <v>0</v>
      </c>
      <c r="F771" s="27">
        <v>560048.9</v>
      </c>
      <c r="H771" s="27">
        <v>23668.3</v>
      </c>
      <c r="J771" s="27">
        <v>536380.6</v>
      </c>
      <c r="K771" s="25">
        <f t="shared" si="13"/>
        <v>536380.6</v>
      </c>
    </row>
    <row r="772" spans="1:11" ht="15.95" customHeight="1" x14ac:dyDescent="0.2">
      <c r="A772" s="156" t="s">
        <v>1260</v>
      </c>
      <c r="B772" s="369" t="s">
        <v>1261</v>
      </c>
      <c r="C772" s="370"/>
      <c r="D772" s="370"/>
      <c r="E772" s="27">
        <v>0</v>
      </c>
      <c r="F772" s="27">
        <v>471131.03</v>
      </c>
      <c r="H772" s="27">
        <v>28032.43</v>
      </c>
      <c r="J772" s="27">
        <v>443098.6</v>
      </c>
      <c r="K772" s="25">
        <f t="shared" si="13"/>
        <v>443098.6</v>
      </c>
    </row>
    <row r="773" spans="1:11" ht="15.95" customHeight="1" x14ac:dyDescent="0.2">
      <c r="A773" s="156" t="s">
        <v>1262</v>
      </c>
      <c r="B773" s="369" t="s">
        <v>1263</v>
      </c>
      <c r="C773" s="370"/>
      <c r="D773" s="370"/>
      <c r="E773" s="27">
        <v>0</v>
      </c>
      <c r="F773" s="27">
        <v>753464.24</v>
      </c>
      <c r="H773" s="27">
        <v>357305.35</v>
      </c>
      <c r="J773" s="27">
        <v>396158.89</v>
      </c>
      <c r="K773" s="25">
        <f t="shared" si="13"/>
        <v>396158.89</v>
      </c>
    </row>
    <row r="774" spans="1:11" ht="15.95" customHeight="1" x14ac:dyDescent="0.2">
      <c r="A774" s="156" t="s">
        <v>1264</v>
      </c>
      <c r="B774" s="369" t="s">
        <v>1184</v>
      </c>
      <c r="C774" s="370"/>
      <c r="D774" s="370"/>
      <c r="E774" s="27">
        <v>0</v>
      </c>
      <c r="F774" s="27">
        <v>2485.6999999999998</v>
      </c>
      <c r="H774" s="27">
        <v>148.61000000000001</v>
      </c>
      <c r="J774" s="27">
        <v>2337.09</v>
      </c>
      <c r="K774" s="25">
        <f t="shared" si="13"/>
        <v>2337.09</v>
      </c>
    </row>
    <row r="775" spans="1:11" ht="15.95" customHeight="1" x14ac:dyDescent="0.2">
      <c r="A775" s="156" t="s">
        <v>1265</v>
      </c>
      <c r="B775" s="369" t="s">
        <v>1266</v>
      </c>
      <c r="C775" s="370"/>
      <c r="D775" s="370"/>
      <c r="E775" s="27">
        <v>0</v>
      </c>
      <c r="F775" s="27">
        <v>862382.12</v>
      </c>
      <c r="H775" s="27">
        <v>138271.18</v>
      </c>
      <c r="J775" s="27">
        <v>724110.94</v>
      </c>
      <c r="K775" s="25">
        <f t="shared" si="13"/>
        <v>724110.94</v>
      </c>
    </row>
    <row r="776" spans="1:11" ht="15.95" customHeight="1" x14ac:dyDescent="0.2">
      <c r="A776" s="156" t="s">
        <v>1267</v>
      </c>
      <c r="B776" s="369" t="s">
        <v>1198</v>
      </c>
      <c r="C776" s="370"/>
      <c r="D776" s="370"/>
      <c r="E776" s="27">
        <v>0</v>
      </c>
      <c r="F776" s="27">
        <v>645077.91</v>
      </c>
      <c r="H776" s="27">
        <v>25282.45</v>
      </c>
      <c r="J776" s="27">
        <v>619795.46</v>
      </c>
      <c r="K776" s="25">
        <f t="shared" si="13"/>
        <v>619795.46</v>
      </c>
    </row>
    <row r="777" spans="1:11" ht="15.95" customHeight="1" x14ac:dyDescent="0.2">
      <c r="A777" s="156" t="s">
        <v>1268</v>
      </c>
      <c r="B777" s="369" t="s">
        <v>1269</v>
      </c>
      <c r="C777" s="370"/>
      <c r="D777" s="370"/>
      <c r="E777" s="27">
        <v>0</v>
      </c>
      <c r="F777" s="27">
        <v>182713.5</v>
      </c>
      <c r="H777" s="27">
        <v>0</v>
      </c>
      <c r="J777" s="27">
        <v>182713.5</v>
      </c>
      <c r="K777" s="25">
        <f t="shared" si="13"/>
        <v>182713.5</v>
      </c>
    </row>
    <row r="778" spans="1:11" ht="15.95" customHeight="1" x14ac:dyDescent="0.2">
      <c r="A778" s="156" t="s">
        <v>1270</v>
      </c>
      <c r="B778" s="369" t="s">
        <v>658</v>
      </c>
      <c r="C778" s="370"/>
      <c r="D778" s="370"/>
      <c r="E778" s="27">
        <v>0</v>
      </c>
      <c r="F778" s="27">
        <v>6832.89</v>
      </c>
      <c r="H778" s="27">
        <v>0</v>
      </c>
      <c r="J778" s="27">
        <v>6832.89</v>
      </c>
      <c r="K778" s="25">
        <f t="shared" si="13"/>
        <v>6832.89</v>
      </c>
    </row>
    <row r="779" spans="1:11" ht="15.95" customHeight="1" x14ac:dyDescent="0.2">
      <c r="A779" s="156" t="s">
        <v>1271</v>
      </c>
      <c r="B779" s="369" t="s">
        <v>1272</v>
      </c>
      <c r="C779" s="370"/>
      <c r="D779" s="370"/>
      <c r="E779" s="27">
        <v>0</v>
      </c>
      <c r="F779" s="27">
        <v>9100.44</v>
      </c>
      <c r="H779" s="27">
        <v>0</v>
      </c>
      <c r="J779" s="27">
        <v>9100.44</v>
      </c>
      <c r="K779" s="25">
        <f t="shared" si="13"/>
        <v>9100.44</v>
      </c>
    </row>
    <row r="780" spans="1:11" ht="15.95" customHeight="1" x14ac:dyDescent="0.2">
      <c r="A780" s="156" t="s">
        <v>1273</v>
      </c>
      <c r="B780" s="369" t="s">
        <v>1274</v>
      </c>
      <c r="C780" s="370"/>
      <c r="D780" s="370"/>
      <c r="E780" s="27">
        <v>0</v>
      </c>
      <c r="F780" s="27">
        <v>69045.63</v>
      </c>
      <c r="H780" s="27">
        <v>16263.77</v>
      </c>
      <c r="J780" s="27">
        <v>52781.86</v>
      </c>
      <c r="K780" s="25">
        <f t="shared" si="13"/>
        <v>52781.86</v>
      </c>
    </row>
    <row r="781" spans="1:11" ht="15.95" customHeight="1" x14ac:dyDescent="0.2">
      <c r="A781" s="156" t="s">
        <v>1275</v>
      </c>
      <c r="B781" s="369" t="s">
        <v>1188</v>
      </c>
      <c r="C781" s="370"/>
      <c r="D781" s="370"/>
      <c r="E781" s="27">
        <v>0</v>
      </c>
      <c r="F781" s="27">
        <v>148591.37</v>
      </c>
      <c r="H781" s="27">
        <v>0</v>
      </c>
      <c r="J781" s="27">
        <v>148591.37</v>
      </c>
      <c r="K781" s="25">
        <f t="shared" si="13"/>
        <v>148591.37</v>
      </c>
    </row>
    <row r="782" spans="1:11" ht="15.95" customHeight="1" x14ac:dyDescent="0.2">
      <c r="A782" s="156" t="s">
        <v>1276</v>
      </c>
      <c r="B782" s="369" t="s">
        <v>1180</v>
      </c>
      <c r="C782" s="370"/>
      <c r="D782" s="370"/>
      <c r="E782" s="27">
        <v>0</v>
      </c>
      <c r="F782" s="27">
        <v>38913.199999999997</v>
      </c>
      <c r="H782" s="27">
        <v>12194.43</v>
      </c>
      <c r="J782" s="27">
        <v>26718.77</v>
      </c>
      <c r="K782" s="25">
        <f t="shared" si="13"/>
        <v>26718.77</v>
      </c>
    </row>
    <row r="783" spans="1:11" ht="15.95" customHeight="1" x14ac:dyDescent="0.2">
      <c r="A783" s="156" t="s">
        <v>1277</v>
      </c>
      <c r="B783" s="369" t="s">
        <v>1190</v>
      </c>
      <c r="C783" s="370"/>
      <c r="D783" s="370"/>
      <c r="E783" s="27">
        <v>0</v>
      </c>
      <c r="F783" s="27">
        <v>180745.27</v>
      </c>
      <c r="H783" s="27">
        <v>1236.2</v>
      </c>
      <c r="J783" s="27">
        <v>179509.07</v>
      </c>
      <c r="K783" s="25">
        <f t="shared" si="13"/>
        <v>179509.07</v>
      </c>
    </row>
    <row r="784" spans="1:11" ht="15.95" customHeight="1" x14ac:dyDescent="0.2">
      <c r="A784" s="156" t="s">
        <v>1278</v>
      </c>
      <c r="B784" s="369" t="s">
        <v>1279</v>
      </c>
      <c r="C784" s="370"/>
      <c r="D784" s="370"/>
      <c r="E784" s="27">
        <v>0</v>
      </c>
      <c r="F784" s="27">
        <v>8145.25</v>
      </c>
      <c r="H784" s="27">
        <v>2096.46</v>
      </c>
      <c r="J784" s="27">
        <v>6048.79</v>
      </c>
      <c r="K784" s="25">
        <f t="shared" si="13"/>
        <v>6048.79</v>
      </c>
    </row>
    <row r="785" spans="1:11" ht="15.95" customHeight="1" x14ac:dyDescent="0.2">
      <c r="A785" s="156" t="s">
        <v>1280</v>
      </c>
      <c r="B785" s="369" t="s">
        <v>1192</v>
      </c>
      <c r="C785" s="370"/>
      <c r="D785" s="370"/>
      <c r="E785" s="27">
        <v>0</v>
      </c>
      <c r="F785" s="27">
        <v>30669.61</v>
      </c>
      <c r="H785" s="27">
        <v>0</v>
      </c>
      <c r="J785" s="27">
        <v>30669.61</v>
      </c>
      <c r="K785" s="25">
        <f t="shared" si="13"/>
        <v>30669.61</v>
      </c>
    </row>
    <row r="786" spans="1:11" ht="15.95" customHeight="1" x14ac:dyDescent="0.2">
      <c r="A786" s="156" t="s">
        <v>1281</v>
      </c>
      <c r="B786" s="369" t="s">
        <v>1200</v>
      </c>
      <c r="C786" s="370"/>
      <c r="D786" s="370"/>
      <c r="E786" s="27">
        <v>0</v>
      </c>
      <c r="F786" s="27">
        <v>689769.29</v>
      </c>
      <c r="H786" s="27">
        <v>2716.07</v>
      </c>
      <c r="J786" s="27">
        <v>687053.22</v>
      </c>
      <c r="K786" s="25">
        <f t="shared" si="13"/>
        <v>687053.22</v>
      </c>
    </row>
    <row r="787" spans="1:11" ht="15.95" customHeight="1" x14ac:dyDescent="0.2">
      <c r="A787" s="156" t="s">
        <v>1558</v>
      </c>
      <c r="B787" s="369" t="s">
        <v>1559</v>
      </c>
      <c r="C787" s="370"/>
      <c r="D787" s="370"/>
      <c r="E787" s="27">
        <v>0</v>
      </c>
      <c r="F787" s="27">
        <v>19632.5</v>
      </c>
      <c r="H787" s="27">
        <v>0</v>
      </c>
      <c r="J787" s="27">
        <v>19632.5</v>
      </c>
      <c r="K787" s="25">
        <f t="shared" si="13"/>
        <v>19632.5</v>
      </c>
    </row>
    <row r="788" spans="1:11" ht="15.95" customHeight="1" x14ac:dyDescent="0.2">
      <c r="A788" s="156">
        <v>5110102</v>
      </c>
      <c r="B788" s="369" t="s">
        <v>1286</v>
      </c>
      <c r="C788" s="370"/>
      <c r="D788" s="370"/>
      <c r="E788" s="27">
        <v>0</v>
      </c>
      <c r="F788" s="27">
        <v>336750.38</v>
      </c>
      <c r="H788" s="27">
        <v>7683.51</v>
      </c>
      <c r="J788" s="27">
        <v>329066.87</v>
      </c>
      <c r="K788" s="25">
        <f t="shared" si="13"/>
        <v>329066.87</v>
      </c>
    </row>
    <row r="789" spans="1:11" ht="15.95" customHeight="1" x14ac:dyDescent="0.2">
      <c r="A789" s="156" t="s">
        <v>1287</v>
      </c>
      <c r="B789" s="369" t="s">
        <v>1288</v>
      </c>
      <c r="C789" s="370"/>
      <c r="D789" s="370"/>
      <c r="E789" s="27">
        <v>0</v>
      </c>
      <c r="F789" s="27">
        <v>99282.99</v>
      </c>
      <c r="H789" s="27">
        <v>7683.51</v>
      </c>
      <c r="J789" s="27">
        <v>91599.48</v>
      </c>
      <c r="K789" s="25">
        <f t="shared" si="13"/>
        <v>91599.48</v>
      </c>
    </row>
    <row r="790" spans="1:11" ht="15.95" customHeight="1" x14ac:dyDescent="0.2">
      <c r="A790" s="156" t="s">
        <v>1289</v>
      </c>
      <c r="B790" s="369" t="s">
        <v>1290</v>
      </c>
      <c r="C790" s="370"/>
      <c r="D790" s="370"/>
      <c r="E790" s="27">
        <v>0</v>
      </c>
      <c r="F790" s="27">
        <v>135114.25</v>
      </c>
      <c r="H790" s="27">
        <v>0</v>
      </c>
      <c r="J790" s="27">
        <v>135114.25</v>
      </c>
      <c r="K790" s="25">
        <f t="shared" si="13"/>
        <v>135114.25</v>
      </c>
    </row>
    <row r="791" spans="1:11" ht="15.95" customHeight="1" x14ac:dyDescent="0.2">
      <c r="A791" s="156" t="s">
        <v>1625</v>
      </c>
      <c r="B791" s="369" t="s">
        <v>1562</v>
      </c>
      <c r="C791" s="370"/>
      <c r="D791" s="370"/>
      <c r="E791" s="27">
        <v>0</v>
      </c>
      <c r="F791" s="27">
        <v>59.9</v>
      </c>
      <c r="H791" s="27">
        <v>0</v>
      </c>
      <c r="J791" s="27">
        <v>59.9</v>
      </c>
      <c r="K791" s="25">
        <f t="shared" si="13"/>
        <v>59.9</v>
      </c>
    </row>
    <row r="792" spans="1:11" ht="15.95" customHeight="1" x14ac:dyDescent="0.2">
      <c r="A792" s="156" t="s">
        <v>1626</v>
      </c>
      <c r="B792" s="369" t="s">
        <v>1564</v>
      </c>
      <c r="C792" s="370"/>
      <c r="D792" s="370"/>
      <c r="E792" s="27">
        <v>0</v>
      </c>
      <c r="F792" s="27">
        <v>399</v>
      </c>
      <c r="H792" s="27">
        <v>0</v>
      </c>
      <c r="J792" s="27">
        <v>399</v>
      </c>
      <c r="K792" s="25">
        <f t="shared" si="13"/>
        <v>399</v>
      </c>
    </row>
    <row r="793" spans="1:11" ht="15.95" customHeight="1" x14ac:dyDescent="0.2">
      <c r="A793" s="156" t="s">
        <v>1560</v>
      </c>
      <c r="B793" s="369" t="s">
        <v>1300</v>
      </c>
      <c r="C793" s="370"/>
      <c r="D793" s="370"/>
      <c r="E793" s="27">
        <v>0</v>
      </c>
      <c r="F793" s="27">
        <v>70</v>
      </c>
      <c r="H793" s="27">
        <v>0</v>
      </c>
      <c r="J793" s="27">
        <v>70</v>
      </c>
      <c r="K793" s="25">
        <f t="shared" si="13"/>
        <v>70</v>
      </c>
    </row>
    <row r="794" spans="1:11" ht="15.95" customHeight="1" x14ac:dyDescent="0.2">
      <c r="A794" s="156" t="s">
        <v>1867</v>
      </c>
      <c r="B794" s="369" t="s">
        <v>1213</v>
      </c>
      <c r="C794" s="370"/>
      <c r="D794" s="370"/>
      <c r="E794" s="27">
        <v>0</v>
      </c>
      <c r="F794" s="27">
        <v>648</v>
      </c>
      <c r="H794" s="27">
        <v>0</v>
      </c>
      <c r="J794" s="27">
        <v>648</v>
      </c>
      <c r="K794" s="25">
        <f t="shared" si="13"/>
        <v>648</v>
      </c>
    </row>
    <row r="795" spans="1:11" ht="15.95" customHeight="1" x14ac:dyDescent="0.2">
      <c r="A795" s="156" t="s">
        <v>1291</v>
      </c>
      <c r="B795" s="369" t="s">
        <v>1292</v>
      </c>
      <c r="C795" s="370"/>
      <c r="D795" s="370"/>
      <c r="E795" s="27">
        <v>0</v>
      </c>
      <c r="F795" s="27">
        <v>46101.06</v>
      </c>
      <c r="H795" s="27">
        <v>0</v>
      </c>
      <c r="J795" s="27">
        <v>46101.06</v>
      </c>
      <c r="K795" s="25">
        <f t="shared" si="13"/>
        <v>46101.06</v>
      </c>
    </row>
    <row r="796" spans="1:11" ht="15.95" customHeight="1" x14ac:dyDescent="0.2">
      <c r="A796" s="156" t="s">
        <v>1293</v>
      </c>
      <c r="B796" s="369" t="s">
        <v>1294</v>
      </c>
      <c r="C796" s="370"/>
      <c r="D796" s="370"/>
      <c r="E796" s="27">
        <v>0</v>
      </c>
      <c r="F796" s="27">
        <v>55075.18</v>
      </c>
      <c r="H796" s="27">
        <v>0</v>
      </c>
      <c r="J796" s="27">
        <v>55075.18</v>
      </c>
      <c r="K796" s="25">
        <f t="shared" si="13"/>
        <v>55075.18</v>
      </c>
    </row>
    <row r="797" spans="1:11" ht="15.95" customHeight="1" x14ac:dyDescent="0.2">
      <c r="A797" s="156">
        <v>5110103</v>
      </c>
      <c r="B797" s="369" t="s">
        <v>1295</v>
      </c>
      <c r="C797" s="370"/>
      <c r="D797" s="370"/>
      <c r="E797" s="27">
        <v>0</v>
      </c>
      <c r="F797" s="27">
        <v>6634702.1500000004</v>
      </c>
      <c r="H797" s="27">
        <v>45162.28</v>
      </c>
      <c r="J797" s="27">
        <v>6589539.8700000001</v>
      </c>
      <c r="K797" s="25">
        <f t="shared" si="13"/>
        <v>6589539.8700000001</v>
      </c>
    </row>
    <row r="798" spans="1:11" ht="15.95" customHeight="1" x14ac:dyDescent="0.2">
      <c r="A798" s="156" t="s">
        <v>1627</v>
      </c>
      <c r="B798" s="369" t="s">
        <v>1628</v>
      </c>
      <c r="C798" s="370"/>
      <c r="D798" s="370"/>
      <c r="E798" s="27">
        <v>0</v>
      </c>
      <c r="F798" s="27">
        <v>37788</v>
      </c>
      <c r="H798" s="27">
        <v>0</v>
      </c>
      <c r="J798" s="27">
        <v>37788</v>
      </c>
      <c r="K798" s="25">
        <f t="shared" si="13"/>
        <v>37788</v>
      </c>
    </row>
    <row r="799" spans="1:11" ht="15.95" customHeight="1" x14ac:dyDescent="0.2">
      <c r="A799" s="156" t="s">
        <v>1296</v>
      </c>
      <c r="B799" s="369" t="s">
        <v>1297</v>
      </c>
      <c r="C799" s="370"/>
      <c r="D799" s="370"/>
      <c r="E799" s="27">
        <v>0</v>
      </c>
      <c r="F799" s="27">
        <v>363597.47</v>
      </c>
      <c r="H799" s="27">
        <v>0</v>
      </c>
      <c r="J799" s="27">
        <v>363597.47</v>
      </c>
      <c r="K799" s="25">
        <f t="shared" si="13"/>
        <v>363597.47</v>
      </c>
    </row>
    <row r="800" spans="1:11" ht="15.95" customHeight="1" x14ac:dyDescent="0.2">
      <c r="A800" s="156" t="s">
        <v>1298</v>
      </c>
      <c r="B800" s="369" t="s">
        <v>1203</v>
      </c>
      <c r="C800" s="370"/>
      <c r="D800" s="370"/>
      <c r="E800" s="27">
        <v>0</v>
      </c>
      <c r="F800" s="27">
        <v>2161</v>
      </c>
      <c r="H800" s="27">
        <v>0</v>
      </c>
      <c r="J800" s="27">
        <v>2161</v>
      </c>
      <c r="K800" s="25">
        <f t="shared" si="13"/>
        <v>2161</v>
      </c>
    </row>
    <row r="801" spans="1:11" ht="15.95" customHeight="1" x14ac:dyDescent="0.2">
      <c r="A801" s="156" t="s">
        <v>1561</v>
      </c>
      <c r="B801" s="369" t="s">
        <v>1562</v>
      </c>
      <c r="C801" s="370"/>
      <c r="D801" s="370"/>
      <c r="E801" s="27">
        <v>0</v>
      </c>
      <c r="F801" s="27">
        <v>113203.86</v>
      </c>
      <c r="H801" s="27">
        <v>0</v>
      </c>
      <c r="J801" s="27">
        <v>113203.86</v>
      </c>
      <c r="K801" s="25">
        <f t="shared" si="13"/>
        <v>113203.86</v>
      </c>
    </row>
    <row r="802" spans="1:11" ht="15.95" customHeight="1" x14ac:dyDescent="0.2">
      <c r="A802" s="156" t="s">
        <v>1563</v>
      </c>
      <c r="B802" s="369" t="s">
        <v>1564</v>
      </c>
      <c r="C802" s="370"/>
      <c r="D802" s="370"/>
      <c r="E802" s="27">
        <v>0</v>
      </c>
      <c r="F802" s="27">
        <v>1326</v>
      </c>
      <c r="H802" s="27">
        <v>0</v>
      </c>
      <c r="J802" s="27">
        <v>1326</v>
      </c>
      <c r="K802" s="25">
        <f t="shared" si="13"/>
        <v>1326</v>
      </c>
    </row>
    <row r="803" spans="1:11" ht="15.95" customHeight="1" x14ac:dyDescent="0.2">
      <c r="A803" s="156" t="s">
        <v>1892</v>
      </c>
      <c r="B803" s="369" t="s">
        <v>1893</v>
      </c>
      <c r="C803" s="370"/>
      <c r="D803" s="370"/>
      <c r="E803" s="27">
        <v>0</v>
      </c>
      <c r="F803" s="27">
        <v>270</v>
      </c>
      <c r="H803" s="27">
        <v>0</v>
      </c>
      <c r="J803" s="27">
        <v>270</v>
      </c>
      <c r="K803" s="25">
        <f t="shared" si="13"/>
        <v>270</v>
      </c>
    </row>
    <row r="804" spans="1:11" ht="15.95" customHeight="1" x14ac:dyDescent="0.2">
      <c r="A804" s="156" t="s">
        <v>1299</v>
      </c>
      <c r="B804" s="369" t="s">
        <v>1300</v>
      </c>
      <c r="C804" s="370"/>
      <c r="D804" s="370"/>
      <c r="E804" s="27">
        <v>0</v>
      </c>
      <c r="F804" s="27">
        <v>10338.58</v>
      </c>
      <c r="H804" s="27">
        <v>0</v>
      </c>
      <c r="J804" s="27">
        <v>10338.58</v>
      </c>
      <c r="K804" s="25">
        <f t="shared" si="13"/>
        <v>10338.58</v>
      </c>
    </row>
    <row r="805" spans="1:11" ht="15.95" customHeight="1" x14ac:dyDescent="0.2">
      <c r="A805" s="156" t="s">
        <v>1565</v>
      </c>
      <c r="B805" s="369" t="s">
        <v>1566</v>
      </c>
      <c r="C805" s="370"/>
      <c r="D805" s="370"/>
      <c r="E805" s="27">
        <v>0</v>
      </c>
      <c r="F805" s="27">
        <v>46114.55</v>
      </c>
      <c r="H805" s="27">
        <v>0</v>
      </c>
      <c r="J805" s="27">
        <v>46114.55</v>
      </c>
      <c r="K805" s="25">
        <f t="shared" si="13"/>
        <v>46114.55</v>
      </c>
    </row>
    <row r="806" spans="1:11" ht="15.95" customHeight="1" x14ac:dyDescent="0.2">
      <c r="A806" s="156" t="s">
        <v>1301</v>
      </c>
      <c r="B806" s="369" t="s">
        <v>1302</v>
      </c>
      <c r="C806" s="370"/>
      <c r="D806" s="370"/>
      <c r="E806" s="27">
        <v>0</v>
      </c>
      <c r="F806" s="27">
        <v>26614.79</v>
      </c>
      <c r="H806" s="27">
        <v>0</v>
      </c>
      <c r="J806" s="27">
        <v>26614.79</v>
      </c>
      <c r="K806" s="25">
        <f t="shared" si="13"/>
        <v>26614.79</v>
      </c>
    </row>
    <row r="807" spans="1:11" ht="15.95" customHeight="1" x14ac:dyDescent="0.2">
      <c r="A807" s="156" t="s">
        <v>1303</v>
      </c>
      <c r="B807" s="369" t="s">
        <v>1304</v>
      </c>
      <c r="C807" s="370"/>
      <c r="D807" s="370"/>
      <c r="E807" s="27">
        <v>0</v>
      </c>
      <c r="F807" s="27">
        <v>1538856.92</v>
      </c>
      <c r="H807" s="27">
        <v>19761.39</v>
      </c>
      <c r="J807" s="27">
        <v>1519095.53</v>
      </c>
      <c r="K807" s="25">
        <f t="shared" si="13"/>
        <v>1519095.53</v>
      </c>
    </row>
    <row r="808" spans="1:11" ht="15.95" customHeight="1" x14ac:dyDescent="0.2">
      <c r="A808" s="156" t="s">
        <v>1305</v>
      </c>
      <c r="B808" s="369" t="s">
        <v>1306</v>
      </c>
      <c r="C808" s="370"/>
      <c r="D808" s="370"/>
      <c r="E808" s="27">
        <v>0</v>
      </c>
      <c r="F808" s="27">
        <v>2343592.9300000002</v>
      </c>
      <c r="H808" s="27">
        <v>23844.42</v>
      </c>
      <c r="J808" s="27">
        <v>2319748.5099999998</v>
      </c>
      <c r="K808" s="25">
        <f t="shared" si="13"/>
        <v>2319748.5099999998</v>
      </c>
    </row>
    <row r="809" spans="1:11" ht="15.95" customHeight="1" x14ac:dyDescent="0.2">
      <c r="A809" s="156" t="s">
        <v>1307</v>
      </c>
      <c r="B809" s="369" t="s">
        <v>1308</v>
      </c>
      <c r="C809" s="370"/>
      <c r="D809" s="370"/>
      <c r="E809" s="27">
        <v>0</v>
      </c>
      <c r="F809" s="27">
        <v>16734.169999999998</v>
      </c>
      <c r="H809" s="27">
        <v>0</v>
      </c>
      <c r="J809" s="27">
        <v>16734.169999999998</v>
      </c>
      <c r="K809" s="25">
        <f t="shared" si="13"/>
        <v>16734.169999999998</v>
      </c>
    </row>
    <row r="810" spans="1:11" ht="15.95" customHeight="1" x14ac:dyDescent="0.2">
      <c r="A810" s="156" t="s">
        <v>1309</v>
      </c>
      <c r="B810" s="369" t="s">
        <v>1310</v>
      </c>
      <c r="C810" s="370"/>
      <c r="D810" s="370"/>
      <c r="E810" s="27">
        <v>0</v>
      </c>
      <c r="F810" s="27">
        <v>1846888.45</v>
      </c>
      <c r="H810" s="27">
        <v>1556.47</v>
      </c>
      <c r="J810" s="27">
        <v>1845331.98</v>
      </c>
      <c r="K810" s="25">
        <f t="shared" si="13"/>
        <v>1845331.98</v>
      </c>
    </row>
    <row r="811" spans="1:11" ht="15.95" customHeight="1" x14ac:dyDescent="0.2">
      <c r="A811" s="156" t="s">
        <v>1311</v>
      </c>
      <c r="B811" s="369" t="s">
        <v>1312</v>
      </c>
      <c r="C811" s="370"/>
      <c r="D811" s="370"/>
      <c r="E811" s="27">
        <v>0</v>
      </c>
      <c r="F811" s="27">
        <v>10432</v>
      </c>
      <c r="H811" s="27">
        <v>0</v>
      </c>
      <c r="J811" s="27">
        <v>10432</v>
      </c>
      <c r="K811" s="25">
        <f t="shared" si="13"/>
        <v>10432</v>
      </c>
    </row>
    <row r="812" spans="1:11" ht="15.95" customHeight="1" x14ac:dyDescent="0.2">
      <c r="A812" s="156" t="s">
        <v>1313</v>
      </c>
      <c r="B812" s="369" t="s">
        <v>1314</v>
      </c>
      <c r="C812" s="370"/>
      <c r="D812" s="370"/>
      <c r="E812" s="27">
        <v>0</v>
      </c>
      <c r="F812" s="27">
        <v>46249.94</v>
      </c>
      <c r="H812" s="27">
        <v>0</v>
      </c>
      <c r="J812" s="27">
        <v>46249.94</v>
      </c>
      <c r="K812" s="25">
        <f t="shared" si="13"/>
        <v>46249.94</v>
      </c>
    </row>
    <row r="813" spans="1:11" ht="15.95" customHeight="1" x14ac:dyDescent="0.2">
      <c r="A813" s="156" t="s">
        <v>1315</v>
      </c>
      <c r="B813" s="369" t="s">
        <v>1316</v>
      </c>
      <c r="C813" s="370"/>
      <c r="D813" s="370"/>
      <c r="E813" s="27">
        <v>0</v>
      </c>
      <c r="F813" s="27">
        <v>71540.399999999994</v>
      </c>
      <c r="H813" s="27">
        <v>0</v>
      </c>
      <c r="J813" s="27">
        <v>71540.399999999994</v>
      </c>
      <c r="K813" s="25">
        <f t="shared" si="13"/>
        <v>71540.399999999994</v>
      </c>
    </row>
    <row r="814" spans="1:11" ht="15.95" customHeight="1" x14ac:dyDescent="0.2">
      <c r="A814" s="156" t="s">
        <v>1894</v>
      </c>
      <c r="B814" s="369" t="s">
        <v>1895</v>
      </c>
      <c r="C814" s="370"/>
      <c r="D814" s="370"/>
      <c r="E814" s="27">
        <v>0</v>
      </c>
      <c r="F814" s="27">
        <v>400</v>
      </c>
      <c r="H814" s="27">
        <v>0</v>
      </c>
      <c r="J814" s="27">
        <v>400</v>
      </c>
      <c r="K814" s="25">
        <f t="shared" si="13"/>
        <v>400</v>
      </c>
    </row>
    <row r="815" spans="1:11" ht="27.95" customHeight="1" x14ac:dyDescent="0.2">
      <c r="A815" s="156" t="s">
        <v>1317</v>
      </c>
      <c r="B815" s="369" t="s">
        <v>1318</v>
      </c>
      <c r="C815" s="370"/>
      <c r="D815" s="370"/>
      <c r="E815" s="27">
        <v>0</v>
      </c>
      <c r="F815" s="27">
        <v>3589</v>
      </c>
      <c r="H815" s="27">
        <v>0</v>
      </c>
      <c r="J815" s="27">
        <v>3589</v>
      </c>
      <c r="K815" s="25">
        <f t="shared" si="13"/>
        <v>3589</v>
      </c>
    </row>
    <row r="816" spans="1:11" ht="15.95" customHeight="1" x14ac:dyDescent="0.2">
      <c r="A816" s="156" t="s">
        <v>1319</v>
      </c>
      <c r="B816" s="369" t="s">
        <v>1320</v>
      </c>
      <c r="C816" s="370"/>
      <c r="D816" s="370"/>
      <c r="E816" s="27">
        <v>0</v>
      </c>
      <c r="F816" s="27">
        <v>134325.09</v>
      </c>
      <c r="H816" s="27">
        <v>0</v>
      </c>
      <c r="J816" s="27">
        <v>134325.09</v>
      </c>
      <c r="K816" s="25">
        <f t="shared" ref="K816:K870" si="14">J816-E816</f>
        <v>134325.09</v>
      </c>
    </row>
    <row r="817" spans="1:11" ht="15.95" customHeight="1" x14ac:dyDescent="0.2">
      <c r="A817" s="156" t="s">
        <v>1323</v>
      </c>
      <c r="B817" s="369" t="s">
        <v>1324</v>
      </c>
      <c r="C817" s="370"/>
      <c r="D817" s="370"/>
      <c r="E817" s="27">
        <v>0</v>
      </c>
      <c r="F817" s="27">
        <v>20679</v>
      </c>
      <c r="H817" s="27">
        <v>0</v>
      </c>
      <c r="J817" s="27">
        <v>20679</v>
      </c>
      <c r="K817" s="25">
        <f t="shared" si="14"/>
        <v>20679</v>
      </c>
    </row>
    <row r="818" spans="1:11" ht="15.95" customHeight="1" x14ac:dyDescent="0.2">
      <c r="A818" s="156">
        <v>5110104</v>
      </c>
      <c r="B818" s="369" t="s">
        <v>1325</v>
      </c>
      <c r="C818" s="370"/>
      <c r="D818" s="370"/>
      <c r="E818" s="27">
        <v>0</v>
      </c>
      <c r="F818" s="27">
        <v>167301.96</v>
      </c>
      <c r="H818" s="27">
        <v>244.27</v>
      </c>
      <c r="J818" s="27">
        <v>167057.69</v>
      </c>
      <c r="K818" s="25">
        <f t="shared" si="14"/>
        <v>167057.69</v>
      </c>
    </row>
    <row r="819" spans="1:11" ht="15.95" customHeight="1" x14ac:dyDescent="0.2">
      <c r="A819" s="156" t="s">
        <v>1326</v>
      </c>
      <c r="B819" s="369" t="s">
        <v>182</v>
      </c>
      <c r="C819" s="370"/>
      <c r="D819" s="370"/>
      <c r="E819" s="27">
        <v>0</v>
      </c>
      <c r="F819" s="27">
        <v>34078.300000000003</v>
      </c>
      <c r="H819" s="27">
        <v>50.67</v>
      </c>
      <c r="J819" s="27">
        <v>34027.629999999997</v>
      </c>
      <c r="K819" s="25">
        <f t="shared" si="14"/>
        <v>34027.629999999997</v>
      </c>
    </row>
    <row r="820" spans="1:11" ht="15.95" customHeight="1" x14ac:dyDescent="0.2">
      <c r="A820" s="156" t="s">
        <v>1327</v>
      </c>
      <c r="B820" s="369" t="s">
        <v>1328</v>
      </c>
      <c r="C820" s="370"/>
      <c r="D820" s="370"/>
      <c r="E820" s="27">
        <v>0</v>
      </c>
      <c r="F820" s="27">
        <v>33694.33</v>
      </c>
      <c r="H820" s="27">
        <v>0</v>
      </c>
      <c r="J820" s="27">
        <v>33694.33</v>
      </c>
      <c r="K820" s="25">
        <f t="shared" si="14"/>
        <v>33694.33</v>
      </c>
    </row>
    <row r="821" spans="1:11" ht="15.95" customHeight="1" x14ac:dyDescent="0.2">
      <c r="A821" s="156" t="s">
        <v>1329</v>
      </c>
      <c r="B821" s="369" t="s">
        <v>1330</v>
      </c>
      <c r="C821" s="370"/>
      <c r="D821" s="370"/>
      <c r="E821" s="27">
        <v>0</v>
      </c>
      <c r="F821" s="27">
        <v>9913.59</v>
      </c>
      <c r="H821" s="27">
        <v>0</v>
      </c>
      <c r="J821" s="27">
        <v>9913.59</v>
      </c>
      <c r="K821" s="25">
        <f t="shared" si="14"/>
        <v>9913.59</v>
      </c>
    </row>
    <row r="822" spans="1:11" ht="15.95" customHeight="1" x14ac:dyDescent="0.2">
      <c r="A822" s="156" t="s">
        <v>1331</v>
      </c>
      <c r="B822" s="369" t="s">
        <v>1332</v>
      </c>
      <c r="C822" s="370"/>
      <c r="D822" s="370"/>
      <c r="E822" s="27">
        <v>0</v>
      </c>
      <c r="F822" s="27">
        <v>1504.36</v>
      </c>
      <c r="H822" s="27">
        <v>0</v>
      </c>
      <c r="J822" s="27">
        <v>1504.36</v>
      </c>
      <c r="K822" s="25">
        <f t="shared" si="14"/>
        <v>1504.36</v>
      </c>
    </row>
    <row r="823" spans="1:11" ht="15.95" customHeight="1" x14ac:dyDescent="0.2">
      <c r="A823" s="156" t="s">
        <v>1333</v>
      </c>
      <c r="B823" s="369" t="s">
        <v>186</v>
      </c>
      <c r="C823" s="370"/>
      <c r="D823" s="370"/>
      <c r="E823" s="27">
        <v>0</v>
      </c>
      <c r="F823" s="27">
        <v>3146.35</v>
      </c>
      <c r="H823" s="27">
        <v>0</v>
      </c>
      <c r="J823" s="27">
        <v>3146.35</v>
      </c>
      <c r="K823" s="25">
        <f t="shared" si="14"/>
        <v>3146.35</v>
      </c>
    </row>
    <row r="824" spans="1:11" ht="15.95" customHeight="1" x14ac:dyDescent="0.2">
      <c r="A824" s="156" t="s">
        <v>1334</v>
      </c>
      <c r="B824" s="369" t="s">
        <v>1335</v>
      </c>
      <c r="C824" s="370"/>
      <c r="D824" s="370"/>
      <c r="E824" s="27">
        <v>0</v>
      </c>
      <c r="F824" s="27">
        <v>4090.5</v>
      </c>
      <c r="H824" s="27">
        <v>0</v>
      </c>
      <c r="J824" s="27">
        <v>4090.5</v>
      </c>
      <c r="K824" s="25">
        <f t="shared" si="14"/>
        <v>4090.5</v>
      </c>
    </row>
    <row r="825" spans="1:11" ht="15.95" customHeight="1" x14ac:dyDescent="0.2">
      <c r="A825" s="156" t="s">
        <v>1336</v>
      </c>
      <c r="B825" s="369" t="s">
        <v>188</v>
      </c>
      <c r="C825" s="370"/>
      <c r="D825" s="370"/>
      <c r="E825" s="27">
        <v>0</v>
      </c>
      <c r="F825" s="27">
        <v>2004.83</v>
      </c>
      <c r="H825" s="27">
        <v>0</v>
      </c>
      <c r="J825" s="27">
        <v>2004.83</v>
      </c>
      <c r="K825" s="25">
        <f t="shared" si="14"/>
        <v>2004.83</v>
      </c>
    </row>
    <row r="826" spans="1:11" ht="15.95" customHeight="1" x14ac:dyDescent="0.2">
      <c r="A826" s="156" t="s">
        <v>1337</v>
      </c>
      <c r="B826" s="369" t="s">
        <v>1227</v>
      </c>
      <c r="C826" s="370"/>
      <c r="D826" s="370"/>
      <c r="E826" s="27">
        <v>0</v>
      </c>
      <c r="F826" s="27">
        <v>10318.299999999999</v>
      </c>
      <c r="H826" s="27">
        <v>0</v>
      </c>
      <c r="J826" s="27">
        <v>10318.299999999999</v>
      </c>
      <c r="K826" s="25">
        <f t="shared" si="14"/>
        <v>10318.299999999999</v>
      </c>
    </row>
    <row r="827" spans="1:11" ht="15.95" customHeight="1" x14ac:dyDescent="0.2">
      <c r="A827" s="156" t="s">
        <v>1338</v>
      </c>
      <c r="B827" s="369" t="s">
        <v>1224</v>
      </c>
      <c r="C827" s="370"/>
      <c r="D827" s="370"/>
      <c r="E827" s="27">
        <v>0</v>
      </c>
      <c r="F827" s="27">
        <v>60184.800000000003</v>
      </c>
      <c r="H827" s="27">
        <v>193.6</v>
      </c>
      <c r="J827" s="27">
        <v>59991.199999999997</v>
      </c>
      <c r="K827" s="25">
        <f t="shared" si="14"/>
        <v>59991.199999999997</v>
      </c>
    </row>
    <row r="828" spans="1:11" ht="15.95" customHeight="1" x14ac:dyDescent="0.2">
      <c r="A828" s="156" t="s">
        <v>1339</v>
      </c>
      <c r="B828" s="369" t="s">
        <v>1340</v>
      </c>
      <c r="C828" s="370"/>
      <c r="D828" s="370"/>
      <c r="E828" s="27">
        <v>0</v>
      </c>
      <c r="F828" s="27">
        <v>2608.59</v>
      </c>
      <c r="H828" s="27">
        <v>0</v>
      </c>
      <c r="J828" s="27">
        <v>2608.59</v>
      </c>
      <c r="K828" s="25">
        <f t="shared" si="14"/>
        <v>2608.59</v>
      </c>
    </row>
    <row r="829" spans="1:11" ht="15.95" customHeight="1" x14ac:dyDescent="0.2">
      <c r="A829" s="156" t="s">
        <v>1629</v>
      </c>
      <c r="B829" s="369" t="s">
        <v>1630</v>
      </c>
      <c r="C829" s="370"/>
      <c r="D829" s="370"/>
      <c r="E829" s="27">
        <v>0</v>
      </c>
      <c r="F829" s="27">
        <v>5205.6000000000004</v>
      </c>
      <c r="H829" s="27">
        <v>0</v>
      </c>
      <c r="J829" s="27">
        <v>5205.6000000000004</v>
      </c>
      <c r="K829" s="25">
        <f t="shared" si="14"/>
        <v>5205.6000000000004</v>
      </c>
    </row>
    <row r="830" spans="1:11" ht="15.95" customHeight="1" x14ac:dyDescent="0.2">
      <c r="A830" s="156" t="s">
        <v>1896</v>
      </c>
      <c r="B830" s="369" t="s">
        <v>1897</v>
      </c>
      <c r="C830" s="370"/>
      <c r="D830" s="370"/>
      <c r="E830" s="27">
        <v>0</v>
      </c>
      <c r="F830" s="27">
        <v>225</v>
      </c>
      <c r="H830" s="27">
        <v>0</v>
      </c>
      <c r="J830" s="27">
        <v>225</v>
      </c>
      <c r="K830" s="25">
        <f t="shared" si="14"/>
        <v>225</v>
      </c>
    </row>
    <row r="831" spans="1:11" ht="15.95" customHeight="1" x14ac:dyDescent="0.2">
      <c r="A831" s="156" t="s">
        <v>1341</v>
      </c>
      <c r="B831" s="369" t="s">
        <v>1230</v>
      </c>
      <c r="C831" s="370"/>
      <c r="D831" s="370"/>
      <c r="E831" s="27">
        <v>0</v>
      </c>
      <c r="F831" s="27">
        <v>327.41000000000003</v>
      </c>
      <c r="H831" s="27">
        <v>0</v>
      </c>
      <c r="J831" s="27">
        <v>327.41000000000003</v>
      </c>
      <c r="K831" s="25">
        <f t="shared" si="14"/>
        <v>327.41000000000003</v>
      </c>
    </row>
    <row r="832" spans="1:11" ht="15.95" customHeight="1" x14ac:dyDescent="0.2">
      <c r="A832" s="156">
        <v>5110105</v>
      </c>
      <c r="B832" s="369" t="s">
        <v>1343</v>
      </c>
      <c r="C832" s="370"/>
      <c r="D832" s="370"/>
      <c r="E832" s="27">
        <v>0</v>
      </c>
      <c r="F832" s="27">
        <v>4160667.75</v>
      </c>
      <c r="H832" s="27">
        <v>22066.39</v>
      </c>
      <c r="J832" s="27">
        <v>4138601.36</v>
      </c>
      <c r="K832" s="25">
        <f t="shared" si="14"/>
        <v>4138601.36</v>
      </c>
    </row>
    <row r="833" spans="1:11" ht="15.95" customHeight="1" x14ac:dyDescent="0.2">
      <c r="A833" s="156" t="s">
        <v>1344</v>
      </c>
      <c r="B833" s="369" t="s">
        <v>1239</v>
      </c>
      <c r="C833" s="370"/>
      <c r="D833" s="370"/>
      <c r="E833" s="27">
        <v>0</v>
      </c>
      <c r="F833" s="27">
        <v>388375.77</v>
      </c>
      <c r="H833" s="27">
        <v>0</v>
      </c>
      <c r="J833" s="27">
        <v>388375.77</v>
      </c>
      <c r="K833" s="25">
        <f t="shared" si="14"/>
        <v>388375.77</v>
      </c>
    </row>
    <row r="834" spans="1:11" ht="15.95" customHeight="1" x14ac:dyDescent="0.2">
      <c r="A834" s="156" t="s">
        <v>1345</v>
      </c>
      <c r="B834" s="369" t="s">
        <v>1346</v>
      </c>
      <c r="C834" s="370"/>
      <c r="D834" s="370"/>
      <c r="E834" s="27">
        <v>0</v>
      </c>
      <c r="F834" s="27">
        <v>28379.69</v>
      </c>
      <c r="H834" s="27">
        <v>0</v>
      </c>
      <c r="J834" s="27">
        <v>28379.69</v>
      </c>
      <c r="K834" s="25">
        <f t="shared" si="14"/>
        <v>28379.69</v>
      </c>
    </row>
    <row r="835" spans="1:11" ht="15.95" customHeight="1" x14ac:dyDescent="0.2">
      <c r="A835" s="156" t="s">
        <v>1347</v>
      </c>
      <c r="B835" s="369" t="s">
        <v>1348</v>
      </c>
      <c r="C835" s="370"/>
      <c r="D835" s="370"/>
      <c r="E835" s="27">
        <v>0</v>
      </c>
      <c r="F835" s="27">
        <v>16879.810000000001</v>
      </c>
      <c r="H835" s="27">
        <v>0</v>
      </c>
      <c r="J835" s="27">
        <v>16879.810000000001</v>
      </c>
      <c r="K835" s="25">
        <f t="shared" si="14"/>
        <v>16879.810000000001</v>
      </c>
    </row>
    <row r="836" spans="1:11" ht="15.95" customHeight="1" x14ac:dyDescent="0.2">
      <c r="A836" s="156" t="s">
        <v>1567</v>
      </c>
      <c r="B836" s="369" t="s">
        <v>1241</v>
      </c>
      <c r="C836" s="370"/>
      <c r="D836" s="370"/>
      <c r="E836" s="27">
        <v>0</v>
      </c>
      <c r="F836" s="27">
        <v>904.17</v>
      </c>
      <c r="H836" s="27">
        <v>0</v>
      </c>
      <c r="J836" s="27">
        <v>904.17</v>
      </c>
      <c r="K836" s="25">
        <f t="shared" si="14"/>
        <v>904.17</v>
      </c>
    </row>
    <row r="837" spans="1:11" ht="15.95" customHeight="1" x14ac:dyDescent="0.2">
      <c r="A837" s="156" t="s">
        <v>1568</v>
      </c>
      <c r="B837" s="369" t="s">
        <v>1569</v>
      </c>
      <c r="C837" s="370"/>
      <c r="D837" s="370"/>
      <c r="E837" s="27">
        <v>0</v>
      </c>
      <c r="F837" s="27">
        <v>35169.53</v>
      </c>
      <c r="H837" s="27">
        <v>0</v>
      </c>
      <c r="J837" s="27">
        <v>35169.53</v>
      </c>
      <c r="K837" s="25">
        <f t="shared" si="14"/>
        <v>35169.53</v>
      </c>
    </row>
    <row r="838" spans="1:11" ht="15.95" customHeight="1" x14ac:dyDescent="0.2">
      <c r="A838" s="156" t="s">
        <v>1349</v>
      </c>
      <c r="B838" s="369" t="s">
        <v>1243</v>
      </c>
      <c r="C838" s="370"/>
      <c r="D838" s="370"/>
      <c r="E838" s="27">
        <v>0</v>
      </c>
      <c r="F838" s="27">
        <v>8950</v>
      </c>
      <c r="H838" s="27">
        <v>0</v>
      </c>
      <c r="J838" s="27">
        <v>8950</v>
      </c>
      <c r="K838" s="25">
        <f t="shared" si="14"/>
        <v>8950</v>
      </c>
    </row>
    <row r="839" spans="1:11" ht="15.95" customHeight="1" x14ac:dyDescent="0.2">
      <c r="A839" s="156" t="s">
        <v>1570</v>
      </c>
      <c r="B839" s="369" t="s">
        <v>1571</v>
      </c>
      <c r="C839" s="370"/>
      <c r="D839" s="370"/>
      <c r="E839" s="27">
        <v>0</v>
      </c>
      <c r="F839" s="27">
        <v>10336.629999999999</v>
      </c>
      <c r="H839" s="27">
        <v>0</v>
      </c>
      <c r="J839" s="27">
        <v>10336.629999999999</v>
      </c>
      <c r="K839" s="25">
        <f t="shared" si="14"/>
        <v>10336.629999999999</v>
      </c>
    </row>
    <row r="840" spans="1:11" ht="15.95" customHeight="1" x14ac:dyDescent="0.2">
      <c r="A840" s="156" t="s">
        <v>1350</v>
      </c>
      <c r="B840" s="369" t="s">
        <v>1351</v>
      </c>
      <c r="C840" s="370"/>
      <c r="D840" s="370"/>
      <c r="E840" s="27">
        <v>0</v>
      </c>
      <c r="F840" s="27">
        <v>7582.06</v>
      </c>
      <c r="H840" s="27">
        <v>0</v>
      </c>
      <c r="J840" s="27">
        <v>7582.06</v>
      </c>
      <c r="K840" s="25">
        <f t="shared" si="14"/>
        <v>7582.06</v>
      </c>
    </row>
    <row r="841" spans="1:11" ht="15.95" customHeight="1" x14ac:dyDescent="0.2">
      <c r="A841" s="156" t="s">
        <v>1352</v>
      </c>
      <c r="B841" s="369" t="s">
        <v>1353</v>
      </c>
      <c r="C841" s="370"/>
      <c r="D841" s="370"/>
      <c r="E841" s="27">
        <v>0</v>
      </c>
      <c r="F841" s="27">
        <v>246.34</v>
      </c>
      <c r="H841" s="27">
        <v>0</v>
      </c>
      <c r="J841" s="27">
        <v>246.34</v>
      </c>
      <c r="K841" s="25">
        <f t="shared" si="14"/>
        <v>246.34</v>
      </c>
    </row>
    <row r="842" spans="1:11" ht="15.95" customHeight="1" x14ac:dyDescent="0.2">
      <c r="A842" s="156" t="s">
        <v>1354</v>
      </c>
      <c r="B842" s="369" t="s">
        <v>1355</v>
      </c>
      <c r="C842" s="370"/>
      <c r="D842" s="370"/>
      <c r="E842" s="27">
        <v>0</v>
      </c>
      <c r="F842" s="27">
        <v>106476.67</v>
      </c>
      <c r="H842" s="27">
        <v>9041.7900000000009</v>
      </c>
      <c r="J842" s="27">
        <v>97434.880000000005</v>
      </c>
      <c r="K842" s="25">
        <f t="shared" si="14"/>
        <v>97434.880000000005</v>
      </c>
    </row>
    <row r="843" spans="1:11" ht="15.95" customHeight="1" x14ac:dyDescent="0.2">
      <c r="A843" s="156" t="s">
        <v>1572</v>
      </c>
      <c r="B843" s="369" t="s">
        <v>1573</v>
      </c>
      <c r="C843" s="370"/>
      <c r="D843" s="370"/>
      <c r="E843" s="27">
        <v>0</v>
      </c>
      <c r="F843" s="27">
        <v>198.71</v>
      </c>
      <c r="H843" s="27">
        <v>0</v>
      </c>
      <c r="J843" s="27">
        <v>198.71</v>
      </c>
      <c r="K843" s="25">
        <f t="shared" si="14"/>
        <v>198.71</v>
      </c>
    </row>
    <row r="844" spans="1:11" ht="15.95" customHeight="1" x14ac:dyDescent="0.2">
      <c r="A844" s="156" t="s">
        <v>1356</v>
      </c>
      <c r="B844" s="369" t="s">
        <v>200</v>
      </c>
      <c r="C844" s="370"/>
      <c r="D844" s="370"/>
      <c r="E844" s="27">
        <v>0</v>
      </c>
      <c r="F844" s="27">
        <v>144963</v>
      </c>
      <c r="H844" s="27">
        <v>0</v>
      </c>
      <c r="J844" s="27">
        <v>144963</v>
      </c>
      <c r="K844" s="25">
        <f t="shared" si="14"/>
        <v>144963</v>
      </c>
    </row>
    <row r="845" spans="1:11" ht="15.95" customHeight="1" x14ac:dyDescent="0.2">
      <c r="A845" s="156" t="s">
        <v>1357</v>
      </c>
      <c r="B845" s="369" t="s">
        <v>1358</v>
      </c>
      <c r="C845" s="370"/>
      <c r="D845" s="370"/>
      <c r="E845" s="27">
        <v>0</v>
      </c>
      <c r="F845" s="27">
        <v>224784.31</v>
      </c>
      <c r="H845" s="27">
        <v>0</v>
      </c>
      <c r="J845" s="27">
        <v>224784.31</v>
      </c>
      <c r="K845" s="25">
        <f t="shared" si="14"/>
        <v>224784.31</v>
      </c>
    </row>
    <row r="846" spans="1:11" ht="15.95" customHeight="1" x14ac:dyDescent="0.2">
      <c r="A846" s="156" t="s">
        <v>1359</v>
      </c>
      <c r="B846" s="369" t="s">
        <v>1360</v>
      </c>
      <c r="C846" s="370"/>
      <c r="D846" s="370"/>
      <c r="E846" s="27">
        <v>0</v>
      </c>
      <c r="F846" s="27">
        <v>16400.71</v>
      </c>
      <c r="H846" s="27">
        <v>325.02999999999997</v>
      </c>
      <c r="J846" s="27">
        <v>16075.68</v>
      </c>
      <c r="K846" s="25">
        <f t="shared" si="14"/>
        <v>16075.68</v>
      </c>
    </row>
    <row r="847" spans="1:11" ht="15.95" customHeight="1" x14ac:dyDescent="0.2">
      <c r="A847" s="156" t="s">
        <v>1361</v>
      </c>
      <c r="B847" s="369" t="s">
        <v>1362</v>
      </c>
      <c r="C847" s="370"/>
      <c r="D847" s="370"/>
      <c r="E847" s="27">
        <v>0</v>
      </c>
      <c r="F847" s="27">
        <v>2073939.26</v>
      </c>
      <c r="H847" s="27">
        <v>0</v>
      </c>
      <c r="J847" s="27">
        <v>2073939.26</v>
      </c>
      <c r="K847" s="25">
        <f t="shared" si="14"/>
        <v>2073939.26</v>
      </c>
    </row>
    <row r="848" spans="1:11" ht="15.95" customHeight="1" x14ac:dyDescent="0.2">
      <c r="A848" s="156" t="s">
        <v>1363</v>
      </c>
      <c r="B848" s="369" t="s">
        <v>1364</v>
      </c>
      <c r="C848" s="370"/>
      <c r="D848" s="370"/>
      <c r="E848" s="27">
        <v>0</v>
      </c>
      <c r="F848" s="27">
        <v>941988.35</v>
      </c>
      <c r="H848" s="27">
        <v>0</v>
      </c>
      <c r="J848" s="27">
        <v>941988.35</v>
      </c>
      <c r="K848" s="25">
        <f t="shared" si="14"/>
        <v>941988.35</v>
      </c>
    </row>
    <row r="849" spans="1:11" ht="15.95" customHeight="1" x14ac:dyDescent="0.2">
      <c r="A849" s="156" t="s">
        <v>1365</v>
      </c>
      <c r="B849" s="369" t="s">
        <v>1366</v>
      </c>
      <c r="C849" s="370"/>
      <c r="D849" s="370"/>
      <c r="E849" s="27">
        <v>0</v>
      </c>
      <c r="F849" s="27">
        <v>15981.3</v>
      </c>
      <c r="H849" s="27">
        <v>0</v>
      </c>
      <c r="J849" s="27">
        <v>15981.3</v>
      </c>
      <c r="K849" s="25">
        <f t="shared" si="14"/>
        <v>15981.3</v>
      </c>
    </row>
    <row r="850" spans="1:11" ht="15.95" customHeight="1" x14ac:dyDescent="0.2">
      <c r="A850" s="156" t="s">
        <v>1367</v>
      </c>
      <c r="B850" s="369" t="s">
        <v>1368</v>
      </c>
      <c r="C850" s="370"/>
      <c r="D850" s="370"/>
      <c r="E850" s="27">
        <v>0</v>
      </c>
      <c r="F850" s="27">
        <v>33760.26</v>
      </c>
      <c r="H850" s="27">
        <v>0</v>
      </c>
      <c r="J850" s="27">
        <v>33760.26</v>
      </c>
      <c r="K850" s="25">
        <f t="shared" si="14"/>
        <v>33760.26</v>
      </c>
    </row>
    <row r="851" spans="1:11" ht="15.95" customHeight="1" x14ac:dyDescent="0.2">
      <c r="A851" s="156" t="s">
        <v>1369</v>
      </c>
      <c r="B851" s="369" t="s">
        <v>1370</v>
      </c>
      <c r="C851" s="370"/>
      <c r="D851" s="370"/>
      <c r="E851" s="27">
        <v>0</v>
      </c>
      <c r="F851" s="27">
        <v>104.5</v>
      </c>
      <c r="H851" s="27">
        <v>0</v>
      </c>
      <c r="J851" s="27">
        <v>104.5</v>
      </c>
      <c r="K851" s="25">
        <f t="shared" si="14"/>
        <v>104.5</v>
      </c>
    </row>
    <row r="852" spans="1:11" ht="15.95" customHeight="1" x14ac:dyDescent="0.2">
      <c r="A852" s="156" t="s">
        <v>1371</v>
      </c>
      <c r="B852" s="369" t="s">
        <v>1372</v>
      </c>
      <c r="C852" s="370"/>
      <c r="D852" s="370"/>
      <c r="E852" s="27">
        <v>0</v>
      </c>
      <c r="F852" s="27">
        <v>6979.5</v>
      </c>
      <c r="H852" s="27">
        <v>0</v>
      </c>
      <c r="J852" s="27">
        <v>6979.5</v>
      </c>
      <c r="K852" s="25">
        <f t="shared" si="14"/>
        <v>6979.5</v>
      </c>
    </row>
    <row r="853" spans="1:11" ht="15.95" customHeight="1" x14ac:dyDescent="0.2">
      <c r="A853" s="156" t="s">
        <v>1373</v>
      </c>
      <c r="B853" s="369" t="s">
        <v>202</v>
      </c>
      <c r="C853" s="370"/>
      <c r="D853" s="370"/>
      <c r="E853" s="27">
        <v>0</v>
      </c>
      <c r="F853" s="27">
        <v>66366.98</v>
      </c>
      <c r="H853" s="27">
        <v>0</v>
      </c>
      <c r="J853" s="27">
        <v>66366.98</v>
      </c>
      <c r="K853" s="25">
        <f t="shared" si="14"/>
        <v>66366.98</v>
      </c>
    </row>
    <row r="854" spans="1:11" ht="15.95" customHeight="1" x14ac:dyDescent="0.2">
      <c r="A854" s="156" t="s">
        <v>1871</v>
      </c>
      <c r="B854" s="369" t="s">
        <v>1872</v>
      </c>
      <c r="C854" s="370"/>
      <c r="D854" s="370"/>
      <c r="E854" s="27">
        <v>0</v>
      </c>
      <c r="F854" s="27">
        <v>1215.3900000000001</v>
      </c>
      <c r="H854" s="27">
        <v>0</v>
      </c>
      <c r="J854" s="27">
        <v>1215.3900000000001</v>
      </c>
      <c r="K854" s="25">
        <f t="shared" si="14"/>
        <v>1215.3900000000001</v>
      </c>
    </row>
    <row r="855" spans="1:11" ht="15.95" customHeight="1" x14ac:dyDescent="0.2">
      <c r="A855" s="156" t="s">
        <v>1374</v>
      </c>
      <c r="B855" s="369" t="s">
        <v>1375</v>
      </c>
      <c r="C855" s="370"/>
      <c r="D855" s="370"/>
      <c r="E855" s="27">
        <v>0</v>
      </c>
      <c r="F855" s="27">
        <v>29237.75</v>
      </c>
      <c r="H855" s="27">
        <v>29.24</v>
      </c>
      <c r="J855" s="27">
        <v>29208.51</v>
      </c>
      <c r="K855" s="25">
        <f t="shared" si="14"/>
        <v>29208.51</v>
      </c>
    </row>
    <row r="856" spans="1:11" ht="15.95" customHeight="1" x14ac:dyDescent="0.2">
      <c r="A856" s="156" t="s">
        <v>1898</v>
      </c>
      <c r="B856" s="369" t="s">
        <v>1899</v>
      </c>
      <c r="C856" s="370"/>
      <c r="D856" s="370"/>
      <c r="E856" s="27">
        <v>0</v>
      </c>
      <c r="F856" s="27">
        <v>0</v>
      </c>
      <c r="H856" s="27">
        <v>12670.33</v>
      </c>
      <c r="J856" s="27">
        <v>-12670.33</v>
      </c>
      <c r="K856" s="25">
        <f t="shared" si="14"/>
        <v>-12670.33</v>
      </c>
    </row>
    <row r="857" spans="1:11" ht="15.95" customHeight="1" x14ac:dyDescent="0.2">
      <c r="A857" s="156" t="s">
        <v>1900</v>
      </c>
      <c r="B857" s="369" t="s">
        <v>1901</v>
      </c>
      <c r="C857" s="370"/>
      <c r="D857" s="370"/>
      <c r="E857" s="27">
        <v>0</v>
      </c>
      <c r="F857" s="27">
        <v>634.05999999999995</v>
      </c>
      <c r="H857" s="27">
        <v>0</v>
      </c>
      <c r="J857" s="27">
        <v>634.05999999999995</v>
      </c>
      <c r="K857" s="25">
        <f t="shared" si="14"/>
        <v>634.05999999999995</v>
      </c>
    </row>
    <row r="858" spans="1:11" ht="15.95" customHeight="1" x14ac:dyDescent="0.2">
      <c r="A858" s="156" t="s">
        <v>1376</v>
      </c>
      <c r="B858" s="369" t="s">
        <v>1377</v>
      </c>
      <c r="C858" s="370"/>
      <c r="D858" s="370"/>
      <c r="E858" s="27">
        <v>0</v>
      </c>
      <c r="F858" s="27">
        <v>813</v>
      </c>
      <c r="H858" s="27">
        <v>0</v>
      </c>
      <c r="J858" s="27">
        <v>813</v>
      </c>
      <c r="K858" s="25">
        <f t="shared" si="14"/>
        <v>813</v>
      </c>
    </row>
    <row r="859" spans="1:11" ht="15.95" customHeight="1" x14ac:dyDescent="0.2">
      <c r="A859" s="156">
        <v>59</v>
      </c>
      <c r="B859" s="369" t="s">
        <v>1378</v>
      </c>
      <c r="C859" s="370"/>
      <c r="D859" s="370"/>
      <c r="E859" s="27">
        <v>0</v>
      </c>
      <c r="F859" s="27">
        <v>3015938.72</v>
      </c>
      <c r="H859" s="27">
        <v>377543.5</v>
      </c>
      <c r="J859" s="27">
        <v>2638395.2200000002</v>
      </c>
      <c r="K859" s="25">
        <f t="shared" si="14"/>
        <v>2638395.2200000002</v>
      </c>
    </row>
    <row r="860" spans="1:11" ht="15.95" customHeight="1" x14ac:dyDescent="0.2">
      <c r="A860" s="156">
        <v>591</v>
      </c>
      <c r="B860" s="369" t="s">
        <v>1379</v>
      </c>
      <c r="C860" s="370"/>
      <c r="D860" s="370"/>
      <c r="E860" s="27">
        <v>0</v>
      </c>
      <c r="F860" s="27">
        <v>3015938.72</v>
      </c>
      <c r="H860" s="27">
        <v>377543.5</v>
      </c>
      <c r="J860" s="27">
        <v>2638395.2200000002</v>
      </c>
      <c r="K860" s="25">
        <f t="shared" si="14"/>
        <v>2638395.2200000002</v>
      </c>
    </row>
    <row r="861" spans="1:11" ht="15.95" customHeight="1" x14ac:dyDescent="0.2">
      <c r="A861" s="156">
        <v>59101</v>
      </c>
      <c r="B861" s="369" t="s">
        <v>1380</v>
      </c>
      <c r="C861" s="370"/>
      <c r="D861" s="370"/>
      <c r="E861" s="27">
        <v>0</v>
      </c>
      <c r="F861" s="27">
        <v>3015938.72</v>
      </c>
      <c r="H861" s="27">
        <v>176.44</v>
      </c>
      <c r="J861" s="27">
        <v>3015762.28</v>
      </c>
      <c r="K861" s="25">
        <f t="shared" si="14"/>
        <v>3015762.28</v>
      </c>
    </row>
    <row r="862" spans="1:11" ht="15.95" customHeight="1" x14ac:dyDescent="0.2">
      <c r="A862" s="156">
        <v>5910101</v>
      </c>
      <c r="B862" s="369" t="s">
        <v>1380</v>
      </c>
      <c r="C862" s="370"/>
      <c r="D862" s="370"/>
      <c r="E862" s="27">
        <v>0</v>
      </c>
      <c r="F862" s="27">
        <v>3015938.72</v>
      </c>
      <c r="H862" s="27">
        <v>176.44</v>
      </c>
      <c r="J862" s="27">
        <v>3015762.28</v>
      </c>
      <c r="K862" s="25">
        <f t="shared" si="14"/>
        <v>3015762.28</v>
      </c>
    </row>
    <row r="863" spans="1:11" ht="15.95" customHeight="1" x14ac:dyDescent="0.2">
      <c r="A863" s="156" t="s">
        <v>1383</v>
      </c>
      <c r="B863" s="369" t="s">
        <v>1384</v>
      </c>
      <c r="C863" s="370"/>
      <c r="D863" s="370"/>
      <c r="E863" s="27">
        <v>0</v>
      </c>
      <c r="F863" s="27">
        <v>321916.43</v>
      </c>
      <c r="H863" s="27">
        <v>0</v>
      </c>
      <c r="J863" s="27">
        <v>321916.43</v>
      </c>
      <c r="K863" s="25">
        <f t="shared" si="14"/>
        <v>321916.43</v>
      </c>
    </row>
    <row r="864" spans="1:11" ht="15.95" customHeight="1" x14ac:dyDescent="0.2">
      <c r="A864" s="156" t="s">
        <v>1385</v>
      </c>
      <c r="B864" s="369" t="s">
        <v>1386</v>
      </c>
      <c r="C864" s="370"/>
      <c r="D864" s="370"/>
      <c r="E864" s="27">
        <v>0</v>
      </c>
      <c r="F864" s="27">
        <v>256958.56</v>
      </c>
      <c r="H864" s="27">
        <v>88.8</v>
      </c>
      <c r="J864" s="27">
        <v>256869.76000000001</v>
      </c>
      <c r="K864" s="25">
        <f t="shared" si="14"/>
        <v>256869.76000000001</v>
      </c>
    </row>
    <row r="865" spans="1:11" ht="15.95" customHeight="1" x14ac:dyDescent="0.2">
      <c r="A865" s="156" t="s">
        <v>1387</v>
      </c>
      <c r="B865" s="369" t="s">
        <v>1388</v>
      </c>
      <c r="C865" s="370"/>
      <c r="D865" s="370"/>
      <c r="E865" s="27">
        <v>0</v>
      </c>
      <c r="F865" s="27">
        <v>18922.96</v>
      </c>
      <c r="H865" s="27">
        <v>0</v>
      </c>
      <c r="J865" s="27">
        <v>18922.96</v>
      </c>
      <c r="K865" s="25">
        <f t="shared" si="14"/>
        <v>18922.96</v>
      </c>
    </row>
    <row r="866" spans="1:11" ht="15.95" customHeight="1" x14ac:dyDescent="0.2">
      <c r="A866" s="156" t="s">
        <v>1389</v>
      </c>
      <c r="B866" s="369" t="s">
        <v>1390</v>
      </c>
      <c r="C866" s="370"/>
      <c r="D866" s="370"/>
      <c r="E866" s="27">
        <v>0</v>
      </c>
      <c r="F866" s="27">
        <v>2414269.1800000002</v>
      </c>
      <c r="H866" s="27">
        <v>87.64</v>
      </c>
      <c r="J866" s="27">
        <v>2414181.54</v>
      </c>
      <c r="K866" s="25">
        <f t="shared" si="14"/>
        <v>2414181.54</v>
      </c>
    </row>
    <row r="867" spans="1:11" ht="15.95" customHeight="1" x14ac:dyDescent="0.2">
      <c r="A867" s="156" t="s">
        <v>1631</v>
      </c>
      <c r="B867" s="369" t="s">
        <v>1632</v>
      </c>
      <c r="C867" s="370"/>
      <c r="D867" s="370"/>
      <c r="E867" s="27">
        <v>0</v>
      </c>
      <c r="F867" s="27">
        <v>3871.59</v>
      </c>
      <c r="H867" s="27">
        <v>0</v>
      </c>
      <c r="J867" s="27">
        <v>3871.59</v>
      </c>
      <c r="K867" s="25">
        <f t="shared" si="14"/>
        <v>3871.59</v>
      </c>
    </row>
    <row r="868" spans="1:11" ht="15.95" customHeight="1" x14ac:dyDescent="0.2">
      <c r="A868" s="156">
        <v>59102</v>
      </c>
      <c r="B868" s="369" t="s">
        <v>1391</v>
      </c>
      <c r="C868" s="370"/>
      <c r="D868" s="370"/>
      <c r="E868" s="27">
        <v>0</v>
      </c>
      <c r="F868" s="27">
        <v>0</v>
      </c>
      <c r="H868" s="27">
        <v>377367.06</v>
      </c>
      <c r="J868" s="27">
        <v>-377367.06</v>
      </c>
      <c r="K868" s="25">
        <f t="shared" si="14"/>
        <v>-377367.06</v>
      </c>
    </row>
    <row r="869" spans="1:11" ht="27.95" customHeight="1" x14ac:dyDescent="0.2">
      <c r="A869" s="156">
        <v>5910201</v>
      </c>
      <c r="B869" s="369" t="s">
        <v>1391</v>
      </c>
      <c r="C869" s="370"/>
      <c r="D869" s="370"/>
      <c r="E869" s="27">
        <v>0</v>
      </c>
      <c r="F869" s="27">
        <v>0</v>
      </c>
      <c r="H869" s="27">
        <v>377367.06</v>
      </c>
      <c r="J869" s="27">
        <v>-377367.06</v>
      </c>
      <c r="K869" s="25">
        <f t="shared" si="14"/>
        <v>-377367.06</v>
      </c>
    </row>
    <row r="870" spans="1:11" ht="15.95" customHeight="1" x14ac:dyDescent="0.2">
      <c r="A870" s="156" t="s">
        <v>1574</v>
      </c>
      <c r="B870" s="369" t="s">
        <v>1575</v>
      </c>
      <c r="C870" s="370"/>
      <c r="D870" s="370"/>
      <c r="E870" s="27">
        <v>0</v>
      </c>
      <c r="F870" s="27">
        <v>0</v>
      </c>
      <c r="H870" s="27">
        <v>3013.9</v>
      </c>
      <c r="J870" s="27">
        <v>-3013.9</v>
      </c>
      <c r="K870" s="25">
        <f t="shared" si="14"/>
        <v>-3013.9</v>
      </c>
    </row>
    <row r="871" spans="1:11" ht="15.95" customHeight="1" x14ac:dyDescent="0.2">
      <c r="A871" s="156" t="s">
        <v>1392</v>
      </c>
      <c r="B871" s="369" t="s">
        <v>1393</v>
      </c>
      <c r="C871" s="370"/>
      <c r="D871" s="370"/>
      <c r="E871" s="27">
        <v>0</v>
      </c>
      <c r="F871" s="27">
        <v>0</v>
      </c>
      <c r="H871" s="27">
        <v>224581.13</v>
      </c>
      <c r="J871" s="27">
        <v>-224581.13</v>
      </c>
      <c r="K871" s="25">
        <f t="shared" ref="K871:K907" si="15">J871-E871</f>
        <v>-224581.13</v>
      </c>
    </row>
    <row r="872" spans="1:11" ht="15.95" customHeight="1" x14ac:dyDescent="0.2">
      <c r="A872" s="156" t="s">
        <v>1576</v>
      </c>
      <c r="B872" s="369" t="s">
        <v>1577</v>
      </c>
      <c r="C872" s="370"/>
      <c r="D872" s="370"/>
      <c r="E872" s="27">
        <v>0</v>
      </c>
      <c r="F872" s="27">
        <v>0</v>
      </c>
      <c r="H872" s="27">
        <v>3339.85</v>
      </c>
      <c r="J872" s="27">
        <v>-3339.85</v>
      </c>
      <c r="K872" s="25">
        <f t="shared" si="15"/>
        <v>-3339.85</v>
      </c>
    </row>
    <row r="873" spans="1:11" ht="15.95" customHeight="1" x14ac:dyDescent="0.2">
      <c r="A873" s="156" t="s">
        <v>1394</v>
      </c>
      <c r="B873" s="369" t="s">
        <v>1395</v>
      </c>
      <c r="C873" s="370"/>
      <c r="D873" s="370"/>
      <c r="E873" s="27">
        <v>0</v>
      </c>
      <c r="F873" s="27">
        <v>0</v>
      </c>
      <c r="H873" s="27">
        <v>85010.38</v>
      </c>
      <c r="J873" s="27">
        <v>-85010.38</v>
      </c>
      <c r="K873" s="25">
        <f t="shared" si="15"/>
        <v>-85010.38</v>
      </c>
    </row>
    <row r="874" spans="1:11" ht="15.95" customHeight="1" x14ac:dyDescent="0.2">
      <c r="A874" s="156" t="s">
        <v>1396</v>
      </c>
      <c r="B874" s="369" t="s">
        <v>1397</v>
      </c>
      <c r="C874" s="370"/>
      <c r="D874" s="370"/>
      <c r="E874" s="27">
        <v>0</v>
      </c>
      <c r="F874" s="27">
        <v>0</v>
      </c>
      <c r="H874" s="27">
        <v>14410.37</v>
      </c>
      <c r="J874" s="27">
        <v>-14410.37</v>
      </c>
      <c r="K874" s="25">
        <f t="shared" si="15"/>
        <v>-14410.37</v>
      </c>
    </row>
    <row r="875" spans="1:11" ht="15.95" customHeight="1" x14ac:dyDescent="0.2">
      <c r="A875" s="156" t="s">
        <v>1398</v>
      </c>
      <c r="B875" s="369" t="s">
        <v>1399</v>
      </c>
      <c r="C875" s="370"/>
      <c r="D875" s="370"/>
      <c r="E875" s="27">
        <v>0</v>
      </c>
      <c r="F875" s="27">
        <v>0</v>
      </c>
      <c r="H875" s="27">
        <v>46276.81</v>
      </c>
      <c r="J875" s="27">
        <v>-46276.81</v>
      </c>
      <c r="K875" s="25">
        <f t="shared" si="15"/>
        <v>-46276.81</v>
      </c>
    </row>
    <row r="876" spans="1:11" ht="15.95" customHeight="1" x14ac:dyDescent="0.2">
      <c r="A876" s="156" t="s">
        <v>1578</v>
      </c>
      <c r="B876" s="369" t="s">
        <v>1579</v>
      </c>
      <c r="C876" s="370"/>
      <c r="D876" s="370"/>
      <c r="E876" s="27">
        <v>0</v>
      </c>
      <c r="F876" s="27">
        <v>0</v>
      </c>
      <c r="H876" s="27">
        <v>734.62</v>
      </c>
      <c r="J876" s="27">
        <v>-734.62</v>
      </c>
      <c r="K876" s="25">
        <f t="shared" si="15"/>
        <v>-734.62</v>
      </c>
    </row>
    <row r="877" spans="1:11" ht="15.95" customHeight="1" x14ac:dyDescent="0.2">
      <c r="A877" s="156">
        <v>6</v>
      </c>
      <c r="B877" s="369" t="s">
        <v>1400</v>
      </c>
      <c r="C877" s="370"/>
      <c r="D877" s="370"/>
      <c r="E877" s="27">
        <v>0</v>
      </c>
      <c r="F877" s="27">
        <v>573511.19999999995</v>
      </c>
      <c r="H877" s="27">
        <v>636242.81999999995</v>
      </c>
      <c r="J877" s="27">
        <v>-62731.62</v>
      </c>
      <c r="K877" s="25">
        <f t="shared" si="15"/>
        <v>-62731.62</v>
      </c>
    </row>
    <row r="878" spans="1:11" ht="15.95" customHeight="1" x14ac:dyDescent="0.2">
      <c r="A878" s="156">
        <v>62</v>
      </c>
      <c r="B878" s="369" t="s">
        <v>1401</v>
      </c>
      <c r="C878" s="370"/>
      <c r="D878" s="370"/>
      <c r="E878" s="27">
        <v>0</v>
      </c>
      <c r="F878" s="27">
        <v>573511.19999999995</v>
      </c>
      <c r="H878" s="27">
        <v>636242.81999999995</v>
      </c>
      <c r="J878" s="27">
        <v>-62731.62</v>
      </c>
      <c r="K878" s="25">
        <f t="shared" si="15"/>
        <v>-62731.62</v>
      </c>
    </row>
    <row r="879" spans="1:11" ht="15.95" customHeight="1" x14ac:dyDescent="0.2">
      <c r="A879" s="156">
        <v>621</v>
      </c>
      <c r="B879" s="369" t="s">
        <v>1402</v>
      </c>
      <c r="C879" s="370"/>
      <c r="D879" s="370"/>
      <c r="E879" s="27">
        <v>0</v>
      </c>
      <c r="F879" s="27">
        <v>0</v>
      </c>
      <c r="H879" s="27">
        <v>340938.51</v>
      </c>
      <c r="J879" s="27">
        <v>-340938.51</v>
      </c>
      <c r="K879" s="25">
        <f t="shared" si="15"/>
        <v>-340938.51</v>
      </c>
    </row>
    <row r="880" spans="1:11" ht="15.95" customHeight="1" x14ac:dyDescent="0.2">
      <c r="A880" s="156">
        <v>62101</v>
      </c>
      <c r="B880" s="369" t="s">
        <v>1403</v>
      </c>
      <c r="C880" s="370"/>
      <c r="D880" s="370"/>
      <c r="E880" s="27">
        <v>0</v>
      </c>
      <c r="F880" s="27">
        <v>0</v>
      </c>
      <c r="H880" s="27">
        <v>340938.51</v>
      </c>
      <c r="J880" s="27">
        <v>-340938.51</v>
      </c>
      <c r="K880" s="25">
        <f t="shared" si="15"/>
        <v>-340938.51</v>
      </c>
    </row>
    <row r="881" spans="1:11" ht="15.95" customHeight="1" x14ac:dyDescent="0.2">
      <c r="A881" s="156">
        <v>6210101</v>
      </c>
      <c r="B881" s="369" t="s">
        <v>1404</v>
      </c>
      <c r="C881" s="370"/>
      <c r="D881" s="370"/>
      <c r="E881" s="27">
        <v>0</v>
      </c>
      <c r="F881" s="27">
        <v>0</v>
      </c>
      <c r="H881" s="27">
        <v>340938.51</v>
      </c>
      <c r="J881" s="27">
        <v>-340938.51</v>
      </c>
      <c r="K881" s="25">
        <f t="shared" si="15"/>
        <v>-340938.51</v>
      </c>
    </row>
    <row r="882" spans="1:11" ht="15.95" customHeight="1" x14ac:dyDescent="0.2">
      <c r="A882" s="156" t="s">
        <v>1405</v>
      </c>
      <c r="B882" s="369" t="s">
        <v>1406</v>
      </c>
      <c r="C882" s="370"/>
      <c r="D882" s="370"/>
      <c r="E882" s="27">
        <v>0</v>
      </c>
      <c r="F882" s="27">
        <v>0</v>
      </c>
      <c r="H882" s="27">
        <v>25624.15</v>
      </c>
      <c r="J882" s="27">
        <v>-25624.15</v>
      </c>
      <c r="K882" s="25">
        <f t="shared" si="15"/>
        <v>-25624.15</v>
      </c>
    </row>
    <row r="883" spans="1:11" ht="15.95" customHeight="1" x14ac:dyDescent="0.2">
      <c r="A883" s="156" t="s">
        <v>1580</v>
      </c>
      <c r="B883" s="369" t="s">
        <v>1581</v>
      </c>
      <c r="C883" s="370"/>
      <c r="D883" s="370"/>
      <c r="E883" s="27">
        <v>0</v>
      </c>
      <c r="F883" s="27">
        <v>0</v>
      </c>
      <c r="H883" s="27">
        <v>81815.399999999994</v>
      </c>
      <c r="J883" s="27">
        <v>-81815.399999999994</v>
      </c>
      <c r="K883" s="25">
        <f t="shared" si="15"/>
        <v>-81815.399999999994</v>
      </c>
    </row>
    <row r="884" spans="1:11" ht="15.95" customHeight="1" x14ac:dyDescent="0.2">
      <c r="A884" s="156" t="s">
        <v>1407</v>
      </c>
      <c r="B884" s="369" t="s">
        <v>1403</v>
      </c>
      <c r="C884" s="370"/>
      <c r="D884" s="370"/>
      <c r="E884" s="27">
        <v>0</v>
      </c>
      <c r="F884" s="27">
        <v>0</v>
      </c>
      <c r="H884" s="27">
        <v>149902</v>
      </c>
      <c r="J884" s="27">
        <v>-149902</v>
      </c>
      <c r="K884" s="25">
        <f t="shared" si="15"/>
        <v>-149902</v>
      </c>
    </row>
    <row r="885" spans="1:11" ht="15.95" customHeight="1" x14ac:dyDescent="0.2">
      <c r="A885" s="156" t="s">
        <v>1582</v>
      </c>
      <c r="B885" s="369" t="s">
        <v>1583</v>
      </c>
      <c r="C885" s="370"/>
      <c r="D885" s="370"/>
      <c r="E885" s="27">
        <v>0</v>
      </c>
      <c r="F885" s="27">
        <v>0</v>
      </c>
      <c r="H885" s="27">
        <v>83596.960000000006</v>
      </c>
      <c r="J885" s="27">
        <v>-83596.960000000006</v>
      </c>
      <c r="K885" s="25">
        <f t="shared" si="15"/>
        <v>-83596.960000000006</v>
      </c>
    </row>
    <row r="886" spans="1:11" ht="15.95" customHeight="1" x14ac:dyDescent="0.2">
      <c r="A886" s="156">
        <v>624</v>
      </c>
      <c r="B886" s="369" t="s">
        <v>1410</v>
      </c>
      <c r="C886" s="370"/>
      <c r="D886" s="370"/>
      <c r="E886" s="27">
        <v>0</v>
      </c>
      <c r="F886" s="27">
        <v>168676.07</v>
      </c>
      <c r="H886" s="27">
        <v>181642.43</v>
      </c>
      <c r="J886" s="27">
        <v>-12966.36</v>
      </c>
      <c r="K886" s="25">
        <f t="shared" si="15"/>
        <v>-12966.36</v>
      </c>
    </row>
    <row r="887" spans="1:11" ht="15.95" customHeight="1" x14ac:dyDescent="0.2">
      <c r="A887" s="156">
        <v>62401</v>
      </c>
      <c r="B887" s="369" t="s">
        <v>1410</v>
      </c>
      <c r="C887" s="370"/>
      <c r="D887" s="370"/>
      <c r="E887" s="27">
        <v>0</v>
      </c>
      <c r="F887" s="27">
        <v>168676.07</v>
      </c>
      <c r="H887" s="27">
        <v>181642.43</v>
      </c>
      <c r="J887" s="27">
        <v>-12966.36</v>
      </c>
      <c r="K887" s="25">
        <f t="shared" si="15"/>
        <v>-12966.36</v>
      </c>
    </row>
    <row r="888" spans="1:11" ht="15.95" customHeight="1" x14ac:dyDescent="0.2">
      <c r="A888" s="156">
        <v>6240101</v>
      </c>
      <c r="B888" s="369" t="s">
        <v>1410</v>
      </c>
      <c r="C888" s="370"/>
      <c r="D888" s="370"/>
      <c r="E888" s="27">
        <v>0</v>
      </c>
      <c r="F888" s="27">
        <v>168676.07</v>
      </c>
      <c r="H888" s="27">
        <v>181642.43</v>
      </c>
      <c r="J888" s="27">
        <v>-12966.36</v>
      </c>
      <c r="K888" s="25">
        <f t="shared" si="15"/>
        <v>-12966.36</v>
      </c>
    </row>
    <row r="889" spans="1:11" ht="15.95" customHeight="1" x14ac:dyDescent="0.2">
      <c r="A889" s="156" t="s">
        <v>1902</v>
      </c>
      <c r="B889" s="369" t="s">
        <v>1903</v>
      </c>
      <c r="C889" s="370"/>
      <c r="D889" s="370"/>
      <c r="E889" s="27">
        <v>0</v>
      </c>
      <c r="F889" s="27">
        <v>9669.65</v>
      </c>
      <c r="H889" s="27">
        <v>0</v>
      </c>
      <c r="J889" s="27">
        <v>9669.65</v>
      </c>
      <c r="K889" s="25">
        <f t="shared" si="15"/>
        <v>9669.65</v>
      </c>
    </row>
    <row r="890" spans="1:11" ht="15.95" customHeight="1" x14ac:dyDescent="0.2">
      <c r="A890" s="156" t="s">
        <v>1584</v>
      </c>
      <c r="B890" s="369" t="s">
        <v>1585</v>
      </c>
      <c r="C890" s="370"/>
      <c r="D890" s="370"/>
      <c r="E890" s="27">
        <v>0</v>
      </c>
      <c r="F890" s="27">
        <v>159006.42000000001</v>
      </c>
      <c r="H890" s="27">
        <v>181642.43</v>
      </c>
      <c r="J890" s="27">
        <v>-22636.01</v>
      </c>
      <c r="K890" s="25">
        <f t="shared" si="15"/>
        <v>-22636.01</v>
      </c>
    </row>
    <row r="891" spans="1:11" ht="15.95" customHeight="1" x14ac:dyDescent="0.2">
      <c r="A891" s="156">
        <v>625</v>
      </c>
      <c r="B891" s="369" t="s">
        <v>1413</v>
      </c>
      <c r="C891" s="370"/>
      <c r="D891" s="370"/>
      <c r="E891" s="27">
        <v>0</v>
      </c>
      <c r="F891" s="27">
        <v>404835.13</v>
      </c>
      <c r="H891" s="27">
        <v>113661.88</v>
      </c>
      <c r="J891" s="27">
        <v>291173.25</v>
      </c>
      <c r="K891" s="25">
        <f t="shared" si="15"/>
        <v>291173.25</v>
      </c>
    </row>
    <row r="892" spans="1:11" ht="15.95" customHeight="1" x14ac:dyDescent="0.2">
      <c r="A892" s="156">
        <v>62501</v>
      </c>
      <c r="B892" s="369" t="s">
        <v>1413</v>
      </c>
      <c r="C892" s="370"/>
      <c r="D892" s="370"/>
      <c r="E892" s="27">
        <v>0</v>
      </c>
      <c r="F892" s="27">
        <v>404835.13</v>
      </c>
      <c r="H892" s="27">
        <v>113661.88</v>
      </c>
      <c r="J892" s="27">
        <v>291173.25</v>
      </c>
      <c r="K892" s="25">
        <f t="shared" si="15"/>
        <v>291173.25</v>
      </c>
    </row>
    <row r="893" spans="1:11" ht="15.95" customHeight="1" x14ac:dyDescent="0.2">
      <c r="A893" s="156">
        <v>6250101</v>
      </c>
      <c r="B893" s="369" t="s">
        <v>1414</v>
      </c>
      <c r="C893" s="370"/>
      <c r="D893" s="370"/>
      <c r="E893" s="27">
        <v>0</v>
      </c>
      <c r="F893" s="27">
        <v>404835.13</v>
      </c>
      <c r="H893" s="27">
        <v>113661.88</v>
      </c>
      <c r="J893" s="27">
        <v>291173.25</v>
      </c>
      <c r="K893" s="25">
        <f t="shared" si="15"/>
        <v>291173.25</v>
      </c>
    </row>
    <row r="894" spans="1:11" ht="15.95" customHeight="1" x14ac:dyDescent="0.2">
      <c r="A894" s="156" t="s">
        <v>1415</v>
      </c>
      <c r="B894" s="369" t="s">
        <v>1416</v>
      </c>
      <c r="C894" s="370"/>
      <c r="D894" s="370"/>
      <c r="E894" s="27">
        <v>0</v>
      </c>
      <c r="F894" s="27">
        <v>269755.62</v>
      </c>
      <c r="H894" s="27">
        <v>113661.88</v>
      </c>
      <c r="J894" s="27">
        <v>156093.74</v>
      </c>
      <c r="K894" s="25">
        <f t="shared" si="15"/>
        <v>156093.74</v>
      </c>
    </row>
    <row r="895" spans="1:11" ht="15.95" customHeight="1" x14ac:dyDescent="0.2">
      <c r="A895" s="156" t="s">
        <v>1417</v>
      </c>
      <c r="B895" s="369" t="s">
        <v>1418</v>
      </c>
      <c r="C895" s="370"/>
      <c r="D895" s="370"/>
      <c r="E895" s="27">
        <v>0</v>
      </c>
      <c r="F895" s="27">
        <v>135079.51</v>
      </c>
      <c r="H895" s="27">
        <v>0</v>
      </c>
      <c r="J895" s="27">
        <v>135079.51</v>
      </c>
      <c r="K895" s="25">
        <f t="shared" si="15"/>
        <v>135079.51</v>
      </c>
    </row>
    <row r="896" spans="1:11" ht="15.95" customHeight="1" x14ac:dyDescent="0.2">
      <c r="A896" s="156">
        <v>7</v>
      </c>
      <c r="B896" s="369" t="s">
        <v>1586</v>
      </c>
      <c r="C896" s="370"/>
      <c r="D896" s="370"/>
      <c r="E896" s="27">
        <v>0</v>
      </c>
      <c r="F896" s="27">
        <v>5663856.9400000004</v>
      </c>
      <c r="H896" s="27">
        <v>1113623.3999999999</v>
      </c>
      <c r="J896" s="27">
        <v>4550233.54</v>
      </c>
      <c r="K896" s="25">
        <f t="shared" si="15"/>
        <v>4550233.54</v>
      </c>
    </row>
    <row r="897" spans="1:11" ht="15.95" customHeight="1" x14ac:dyDescent="0.2">
      <c r="A897" s="156">
        <v>71</v>
      </c>
      <c r="B897" s="369" t="s">
        <v>1586</v>
      </c>
      <c r="C897" s="370"/>
      <c r="D897" s="370"/>
      <c r="E897" s="27">
        <v>0</v>
      </c>
      <c r="F897" s="27">
        <v>5663856.9400000004</v>
      </c>
      <c r="H897" s="27">
        <v>1113623.3999999999</v>
      </c>
      <c r="J897" s="27">
        <v>4550233.54</v>
      </c>
      <c r="K897" s="25">
        <f t="shared" si="15"/>
        <v>4550233.54</v>
      </c>
    </row>
    <row r="898" spans="1:11" ht="15.95" customHeight="1" x14ac:dyDescent="0.2">
      <c r="A898" s="156">
        <v>712</v>
      </c>
      <c r="B898" s="369" t="s">
        <v>1587</v>
      </c>
      <c r="C898" s="370"/>
      <c r="D898" s="370"/>
      <c r="E898" s="27">
        <v>0</v>
      </c>
      <c r="F898" s="27">
        <v>5663856.9400000004</v>
      </c>
      <c r="H898" s="27">
        <v>1113623.3999999999</v>
      </c>
      <c r="J898" s="27">
        <v>4550233.54</v>
      </c>
      <c r="K898" s="25">
        <f t="shared" si="15"/>
        <v>4550233.54</v>
      </c>
    </row>
    <row r="899" spans="1:11" ht="15.95" customHeight="1" x14ac:dyDescent="0.2">
      <c r="A899" s="156">
        <v>71201</v>
      </c>
      <c r="B899" s="369" t="s">
        <v>1588</v>
      </c>
      <c r="C899" s="370"/>
      <c r="D899" s="370"/>
      <c r="E899" s="27">
        <v>0</v>
      </c>
      <c r="F899" s="27">
        <v>5663856.9400000004</v>
      </c>
      <c r="H899" s="27">
        <v>1113623.3999999999</v>
      </c>
      <c r="J899" s="27">
        <v>4550233.54</v>
      </c>
      <c r="K899" s="25">
        <f t="shared" si="15"/>
        <v>4550233.54</v>
      </c>
    </row>
    <row r="900" spans="1:11" ht="15.95" customHeight="1" x14ac:dyDescent="0.2">
      <c r="A900" s="156">
        <v>7120101</v>
      </c>
      <c r="B900" s="369" t="s">
        <v>1588</v>
      </c>
      <c r="C900" s="370"/>
      <c r="D900" s="370"/>
      <c r="E900" s="27">
        <v>0</v>
      </c>
      <c r="F900" s="27">
        <v>5663856.9400000004</v>
      </c>
      <c r="H900" s="27">
        <v>1113623.3999999999</v>
      </c>
      <c r="J900" s="27">
        <v>4550233.54</v>
      </c>
      <c r="K900" s="25">
        <f t="shared" si="15"/>
        <v>4550233.54</v>
      </c>
    </row>
    <row r="901" spans="1:11" ht="15.95" customHeight="1" x14ac:dyDescent="0.2">
      <c r="A901" s="156" t="s">
        <v>1589</v>
      </c>
      <c r="B901" s="369" t="s">
        <v>1590</v>
      </c>
      <c r="C901" s="370"/>
      <c r="D901" s="370"/>
      <c r="E901" s="27">
        <v>0</v>
      </c>
      <c r="F901" s="27">
        <v>5663856.9400000004</v>
      </c>
      <c r="H901" s="27">
        <v>1113623.3999999999</v>
      </c>
      <c r="J901" s="27">
        <v>4550233.54</v>
      </c>
      <c r="K901" s="25">
        <f t="shared" si="15"/>
        <v>4550233.54</v>
      </c>
    </row>
    <row r="902" spans="1:11" ht="15.95" customHeight="1" x14ac:dyDescent="0.2">
      <c r="A902" s="156">
        <v>9</v>
      </c>
      <c r="B902" s="369" t="s">
        <v>1419</v>
      </c>
      <c r="C902" s="370"/>
      <c r="D902" s="370"/>
      <c r="E902" s="27">
        <v>0</v>
      </c>
      <c r="F902" s="27">
        <v>0</v>
      </c>
      <c r="H902" s="27">
        <v>24788448.59</v>
      </c>
      <c r="J902" s="27">
        <v>-24788448.59</v>
      </c>
      <c r="K902" s="25">
        <f t="shared" si="15"/>
        <v>-24788448.59</v>
      </c>
    </row>
    <row r="903" spans="1:11" ht="15.95" customHeight="1" x14ac:dyDescent="0.2">
      <c r="A903" s="156">
        <v>91</v>
      </c>
      <c r="B903" s="369" t="s">
        <v>1420</v>
      </c>
      <c r="C903" s="370"/>
      <c r="D903" s="370"/>
      <c r="E903" s="27">
        <v>0</v>
      </c>
      <c r="F903" s="27">
        <v>0</v>
      </c>
      <c r="H903" s="27">
        <v>24788448.59</v>
      </c>
      <c r="J903" s="27">
        <v>-24788448.59</v>
      </c>
      <c r="K903" s="25">
        <f t="shared" si="15"/>
        <v>-24788448.59</v>
      </c>
    </row>
    <row r="904" spans="1:11" ht="15.95" customHeight="1" x14ac:dyDescent="0.2">
      <c r="A904" s="156">
        <v>911</v>
      </c>
      <c r="B904" s="369" t="s">
        <v>1421</v>
      </c>
      <c r="C904" s="370"/>
      <c r="D904" s="370"/>
      <c r="E904" s="27">
        <v>0</v>
      </c>
      <c r="F904" s="27">
        <v>0</v>
      </c>
      <c r="H904" s="27">
        <v>24788448.59</v>
      </c>
      <c r="J904" s="27">
        <v>-24788448.59</v>
      </c>
      <c r="K904" s="25">
        <f t="shared" si="15"/>
        <v>-24788448.59</v>
      </c>
    </row>
    <row r="905" spans="1:11" ht="15.95" customHeight="1" x14ac:dyDescent="0.2">
      <c r="A905" s="156">
        <v>91101</v>
      </c>
      <c r="B905" s="369" t="s">
        <v>1110</v>
      </c>
      <c r="C905" s="370"/>
      <c r="D905" s="370"/>
      <c r="E905" s="27">
        <v>0</v>
      </c>
      <c r="F905" s="27">
        <v>0</v>
      </c>
      <c r="H905" s="27">
        <v>24788448.59</v>
      </c>
      <c r="J905" s="27">
        <v>-24788448.59</v>
      </c>
      <c r="K905" s="25">
        <f t="shared" si="15"/>
        <v>-24788448.59</v>
      </c>
    </row>
    <row r="906" spans="1:11" ht="15.95" customHeight="1" x14ac:dyDescent="0.2">
      <c r="A906" s="156">
        <v>9110101</v>
      </c>
      <c r="B906" s="369" t="s">
        <v>1110</v>
      </c>
      <c r="C906" s="370"/>
      <c r="D906" s="370"/>
      <c r="E906" s="27">
        <v>0</v>
      </c>
      <c r="F906" s="27">
        <v>0</v>
      </c>
      <c r="H906" s="27">
        <v>24788448.59</v>
      </c>
      <c r="J906" s="27">
        <v>-24788448.59</v>
      </c>
      <c r="K906" s="25">
        <f t="shared" si="15"/>
        <v>-24788448.59</v>
      </c>
    </row>
    <row r="907" spans="1:11" ht="16.5" customHeight="1" x14ac:dyDescent="0.2">
      <c r="A907" s="156" t="s">
        <v>1422</v>
      </c>
      <c r="B907" s="369" t="s">
        <v>1110</v>
      </c>
      <c r="C907" s="370"/>
      <c r="D907" s="370"/>
      <c r="E907" s="27">
        <v>0</v>
      </c>
      <c r="F907" s="27">
        <v>0</v>
      </c>
      <c r="H907" s="27">
        <v>24788448.59</v>
      </c>
      <c r="J907" s="27">
        <v>-24788448.59</v>
      </c>
      <c r="K907" s="25">
        <f t="shared" si="15"/>
        <v>-24788448.59</v>
      </c>
    </row>
  </sheetData>
  <autoFilter ref="A1:K913"/>
  <mergeCells count="902">
    <mergeCell ref="B902:D902"/>
    <mergeCell ref="B903:D903"/>
    <mergeCell ref="B904:D904"/>
    <mergeCell ref="B905:D905"/>
    <mergeCell ref="B906:D906"/>
    <mergeCell ref="B907:D907"/>
    <mergeCell ref="B896:D896"/>
    <mergeCell ref="B897:D897"/>
    <mergeCell ref="B898:D898"/>
    <mergeCell ref="B899:D899"/>
    <mergeCell ref="B900:D900"/>
    <mergeCell ref="B901:D901"/>
    <mergeCell ref="B890:D890"/>
    <mergeCell ref="B891:D891"/>
    <mergeCell ref="B892:D892"/>
    <mergeCell ref="B893:D893"/>
    <mergeCell ref="B894:D894"/>
    <mergeCell ref="B895:D895"/>
    <mergeCell ref="B884:D884"/>
    <mergeCell ref="B885:D885"/>
    <mergeCell ref="B886:D886"/>
    <mergeCell ref="B887:D887"/>
    <mergeCell ref="B888:D888"/>
    <mergeCell ref="B889:D889"/>
    <mergeCell ref="B878:D878"/>
    <mergeCell ref="B879:D879"/>
    <mergeCell ref="B880:D880"/>
    <mergeCell ref="B881:D881"/>
    <mergeCell ref="B882:D882"/>
    <mergeCell ref="B883:D883"/>
    <mergeCell ref="B872:D872"/>
    <mergeCell ref="B873:D873"/>
    <mergeCell ref="B874:D874"/>
    <mergeCell ref="B875:D875"/>
    <mergeCell ref="B876:D876"/>
    <mergeCell ref="B877:D877"/>
    <mergeCell ref="B867:D867"/>
    <mergeCell ref="B868:D868"/>
    <mergeCell ref="B869:D869"/>
    <mergeCell ref="B870:D870"/>
    <mergeCell ref="B871:D871"/>
    <mergeCell ref="B861:D861"/>
    <mergeCell ref="B862:D862"/>
    <mergeCell ref="B863:D863"/>
    <mergeCell ref="B864:D864"/>
    <mergeCell ref="B865:D865"/>
    <mergeCell ref="B866:D866"/>
    <mergeCell ref="B855:D855"/>
    <mergeCell ref="B856:D856"/>
    <mergeCell ref="B857:D857"/>
    <mergeCell ref="B858:D858"/>
    <mergeCell ref="B859:D859"/>
    <mergeCell ref="B860:D860"/>
    <mergeCell ref="B849:D849"/>
    <mergeCell ref="B850:D850"/>
    <mergeCell ref="B851:D851"/>
    <mergeCell ref="B852:D852"/>
    <mergeCell ref="B853:D853"/>
    <mergeCell ref="B854:D854"/>
    <mergeCell ref="B843:D843"/>
    <mergeCell ref="B844:D844"/>
    <mergeCell ref="B845:D845"/>
    <mergeCell ref="B846:D846"/>
    <mergeCell ref="B847:D847"/>
    <mergeCell ref="B848:D848"/>
    <mergeCell ref="B837:D837"/>
    <mergeCell ref="B838:D838"/>
    <mergeCell ref="B839:D839"/>
    <mergeCell ref="B840:D840"/>
    <mergeCell ref="B841:D841"/>
    <mergeCell ref="B842:D842"/>
    <mergeCell ref="B831:D831"/>
    <mergeCell ref="B832:D832"/>
    <mergeCell ref="B833:D833"/>
    <mergeCell ref="B834:D834"/>
    <mergeCell ref="B835:D835"/>
    <mergeCell ref="B836:D836"/>
    <mergeCell ref="B825:D825"/>
    <mergeCell ref="B826:D826"/>
    <mergeCell ref="B827:D827"/>
    <mergeCell ref="B828:D828"/>
    <mergeCell ref="B829:D829"/>
    <mergeCell ref="B830:D830"/>
    <mergeCell ref="B819:D819"/>
    <mergeCell ref="B820:D820"/>
    <mergeCell ref="B821:D821"/>
    <mergeCell ref="B822:D822"/>
    <mergeCell ref="B823:D823"/>
    <mergeCell ref="B824:D824"/>
    <mergeCell ref="B814:D814"/>
    <mergeCell ref="B815:D815"/>
    <mergeCell ref="B816:D816"/>
    <mergeCell ref="B817:D817"/>
    <mergeCell ref="B818:D818"/>
    <mergeCell ref="B808:D808"/>
    <mergeCell ref="B809:D809"/>
    <mergeCell ref="B810:D810"/>
    <mergeCell ref="B811:D811"/>
    <mergeCell ref="B812:D812"/>
    <mergeCell ref="B813:D813"/>
    <mergeCell ref="B802:D802"/>
    <mergeCell ref="B803:D803"/>
    <mergeCell ref="B804:D804"/>
    <mergeCell ref="B805:D805"/>
    <mergeCell ref="B806:D806"/>
    <mergeCell ref="B807:D807"/>
    <mergeCell ref="B796:D796"/>
    <mergeCell ref="B797:D797"/>
    <mergeCell ref="B798:D798"/>
    <mergeCell ref="B799:D799"/>
    <mergeCell ref="B800:D800"/>
    <mergeCell ref="B801:D801"/>
    <mergeCell ref="B790:D790"/>
    <mergeCell ref="B791:D791"/>
    <mergeCell ref="B792:D792"/>
    <mergeCell ref="B793:D793"/>
    <mergeCell ref="B794:D794"/>
    <mergeCell ref="B795:D795"/>
    <mergeCell ref="B784:D784"/>
    <mergeCell ref="B785:D785"/>
    <mergeCell ref="B786:D786"/>
    <mergeCell ref="B787:D787"/>
    <mergeCell ref="B788:D788"/>
    <mergeCell ref="B789:D789"/>
    <mergeCell ref="B778:D778"/>
    <mergeCell ref="B779:D779"/>
    <mergeCell ref="B780:D780"/>
    <mergeCell ref="B781:D781"/>
    <mergeCell ref="B782:D782"/>
    <mergeCell ref="B783:D783"/>
    <mergeCell ref="B772:D772"/>
    <mergeCell ref="B773:D773"/>
    <mergeCell ref="B774:D774"/>
    <mergeCell ref="B775:D775"/>
    <mergeCell ref="B776:D776"/>
    <mergeCell ref="B777:D777"/>
    <mergeCell ref="B766:D766"/>
    <mergeCell ref="B767:D767"/>
    <mergeCell ref="B768:D768"/>
    <mergeCell ref="B769:D769"/>
    <mergeCell ref="B770:D770"/>
    <mergeCell ref="B771:D771"/>
    <mergeCell ref="B761:D761"/>
    <mergeCell ref="B762:D762"/>
    <mergeCell ref="B763:D763"/>
    <mergeCell ref="B764:D764"/>
    <mergeCell ref="B765:D765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8:D708"/>
    <mergeCell ref="B709:D709"/>
    <mergeCell ref="B710:D710"/>
    <mergeCell ref="B711:D711"/>
    <mergeCell ref="B712:D712"/>
    <mergeCell ref="B702:D702"/>
    <mergeCell ref="B703:D703"/>
    <mergeCell ref="B704:D704"/>
    <mergeCell ref="B705:D705"/>
    <mergeCell ref="B706:D706"/>
    <mergeCell ref="B707:D707"/>
    <mergeCell ref="B696:D696"/>
    <mergeCell ref="B697:D697"/>
    <mergeCell ref="B698:D698"/>
    <mergeCell ref="B699:D699"/>
    <mergeCell ref="B700:D700"/>
    <mergeCell ref="B701:D701"/>
    <mergeCell ref="B690:D690"/>
    <mergeCell ref="B691:D691"/>
    <mergeCell ref="B692:D692"/>
    <mergeCell ref="B693:D693"/>
    <mergeCell ref="B694:D694"/>
    <mergeCell ref="B695:D695"/>
    <mergeCell ref="B684:D684"/>
    <mergeCell ref="B685:D685"/>
    <mergeCell ref="B686:D686"/>
    <mergeCell ref="B687:D687"/>
    <mergeCell ref="B688:D688"/>
    <mergeCell ref="B689:D689"/>
    <mergeCell ref="B678:D678"/>
    <mergeCell ref="B679:D679"/>
    <mergeCell ref="B680:D680"/>
    <mergeCell ref="B681:D681"/>
    <mergeCell ref="B682:D682"/>
    <mergeCell ref="B683:D683"/>
    <mergeCell ref="B672:D672"/>
    <mergeCell ref="B673:D673"/>
    <mergeCell ref="B674:D674"/>
    <mergeCell ref="B675:D675"/>
    <mergeCell ref="B676:D676"/>
    <mergeCell ref="B677:D677"/>
    <mergeCell ref="B666:D666"/>
    <mergeCell ref="B667:D667"/>
    <mergeCell ref="B668:D668"/>
    <mergeCell ref="B669:D669"/>
    <mergeCell ref="B670:D670"/>
    <mergeCell ref="B671:D671"/>
    <mergeCell ref="B660:D660"/>
    <mergeCell ref="B661:D661"/>
    <mergeCell ref="B662:D662"/>
    <mergeCell ref="B663:D663"/>
    <mergeCell ref="B664:D664"/>
    <mergeCell ref="B665:D665"/>
    <mergeCell ref="B654:D654"/>
    <mergeCell ref="B655:D655"/>
    <mergeCell ref="B656:D656"/>
    <mergeCell ref="B657:D657"/>
    <mergeCell ref="B658:D658"/>
    <mergeCell ref="B659:D659"/>
    <mergeCell ref="B649:D649"/>
    <mergeCell ref="B650:D650"/>
    <mergeCell ref="B651:D651"/>
    <mergeCell ref="B652:D652"/>
    <mergeCell ref="B653:D653"/>
    <mergeCell ref="B643:D643"/>
    <mergeCell ref="B644:D644"/>
    <mergeCell ref="B645:D645"/>
    <mergeCell ref="B646:D646"/>
    <mergeCell ref="B647:D647"/>
    <mergeCell ref="B648:D648"/>
    <mergeCell ref="B637:D637"/>
    <mergeCell ref="B638:D638"/>
    <mergeCell ref="B639:D639"/>
    <mergeCell ref="B640:D640"/>
    <mergeCell ref="B641:D641"/>
    <mergeCell ref="B642:D642"/>
    <mergeCell ref="B631:D631"/>
    <mergeCell ref="B632:D632"/>
    <mergeCell ref="B633:D633"/>
    <mergeCell ref="B634:D634"/>
    <mergeCell ref="B635:D635"/>
    <mergeCell ref="B636:D636"/>
    <mergeCell ref="B625:D625"/>
    <mergeCell ref="B626:D626"/>
    <mergeCell ref="B627:D627"/>
    <mergeCell ref="B628:D628"/>
    <mergeCell ref="B629:D629"/>
    <mergeCell ref="B630:D630"/>
    <mergeCell ref="B619:D619"/>
    <mergeCell ref="B620:D620"/>
    <mergeCell ref="B621:D621"/>
    <mergeCell ref="B622:D622"/>
    <mergeCell ref="B623:D623"/>
    <mergeCell ref="B624:D624"/>
    <mergeCell ref="B613:D613"/>
    <mergeCell ref="B614:D614"/>
    <mergeCell ref="B615:D615"/>
    <mergeCell ref="B616:D616"/>
    <mergeCell ref="B617:D617"/>
    <mergeCell ref="B618:D618"/>
    <mergeCell ref="B607:D607"/>
    <mergeCell ref="B608:D608"/>
    <mergeCell ref="B609:D609"/>
    <mergeCell ref="B610:D610"/>
    <mergeCell ref="B611:D611"/>
    <mergeCell ref="B612:D612"/>
    <mergeCell ref="B601:D601"/>
    <mergeCell ref="B602:D602"/>
    <mergeCell ref="B603:D603"/>
    <mergeCell ref="B604:D604"/>
    <mergeCell ref="B605:D605"/>
    <mergeCell ref="B606:D606"/>
    <mergeCell ref="B596:D596"/>
    <mergeCell ref="B597:D597"/>
    <mergeCell ref="B598:D598"/>
    <mergeCell ref="B599:D599"/>
    <mergeCell ref="B600:D600"/>
    <mergeCell ref="B590:D590"/>
    <mergeCell ref="B591:D591"/>
    <mergeCell ref="B592:D592"/>
    <mergeCell ref="B593:D593"/>
    <mergeCell ref="B594:D594"/>
    <mergeCell ref="B595:D595"/>
    <mergeCell ref="B584:D584"/>
    <mergeCell ref="B585:D585"/>
    <mergeCell ref="B586:D586"/>
    <mergeCell ref="B587:D587"/>
    <mergeCell ref="B588:D588"/>
    <mergeCell ref="B589:D589"/>
    <mergeCell ref="B578:D578"/>
    <mergeCell ref="B579:D579"/>
    <mergeCell ref="B580:D580"/>
    <mergeCell ref="B581:D581"/>
    <mergeCell ref="B582:D582"/>
    <mergeCell ref="B583:D583"/>
    <mergeCell ref="B572:D572"/>
    <mergeCell ref="B573:D573"/>
    <mergeCell ref="B574:D574"/>
    <mergeCell ref="B575:D575"/>
    <mergeCell ref="B576:D576"/>
    <mergeCell ref="B577:D577"/>
    <mergeCell ref="B566:D566"/>
    <mergeCell ref="B567:D567"/>
    <mergeCell ref="B568:D568"/>
    <mergeCell ref="B569:D569"/>
    <mergeCell ref="B570:D570"/>
    <mergeCell ref="B571:D571"/>
    <mergeCell ref="B560:D560"/>
    <mergeCell ref="B561:D561"/>
    <mergeCell ref="B562:D562"/>
    <mergeCell ref="B563:D563"/>
    <mergeCell ref="B564:D564"/>
    <mergeCell ref="B565:D565"/>
    <mergeCell ref="B554:D554"/>
    <mergeCell ref="B555:D555"/>
    <mergeCell ref="B556:D556"/>
    <mergeCell ref="B557:D557"/>
    <mergeCell ref="B558:D558"/>
    <mergeCell ref="B559:D559"/>
    <mergeCell ref="B548:D548"/>
    <mergeCell ref="B549:D549"/>
    <mergeCell ref="B550:D550"/>
    <mergeCell ref="B551:D551"/>
    <mergeCell ref="B552:D552"/>
    <mergeCell ref="B553:D553"/>
    <mergeCell ref="B543:D543"/>
    <mergeCell ref="B544:D544"/>
    <mergeCell ref="B545:D545"/>
    <mergeCell ref="B546:D546"/>
    <mergeCell ref="B547:D547"/>
    <mergeCell ref="B537:D537"/>
    <mergeCell ref="B538:D538"/>
    <mergeCell ref="B539:D539"/>
    <mergeCell ref="B540:D540"/>
    <mergeCell ref="B541:D541"/>
    <mergeCell ref="B542:D542"/>
    <mergeCell ref="B531:D531"/>
    <mergeCell ref="B532:D532"/>
    <mergeCell ref="B533:D533"/>
    <mergeCell ref="B534:D534"/>
    <mergeCell ref="B535:D535"/>
    <mergeCell ref="B536:D536"/>
    <mergeCell ref="B525:D525"/>
    <mergeCell ref="B526:D526"/>
    <mergeCell ref="B527:D527"/>
    <mergeCell ref="B528:D528"/>
    <mergeCell ref="B529:D529"/>
    <mergeCell ref="B530:D530"/>
    <mergeCell ref="B519:D519"/>
    <mergeCell ref="B520:D520"/>
    <mergeCell ref="B521:D521"/>
    <mergeCell ref="B522:D522"/>
    <mergeCell ref="B523:D523"/>
    <mergeCell ref="B524:D524"/>
    <mergeCell ref="B513:D513"/>
    <mergeCell ref="B514:D514"/>
    <mergeCell ref="B515:D515"/>
    <mergeCell ref="B516:D516"/>
    <mergeCell ref="B517:D517"/>
    <mergeCell ref="B518:D518"/>
    <mergeCell ref="B507:D507"/>
    <mergeCell ref="B508:D508"/>
    <mergeCell ref="B509:D509"/>
    <mergeCell ref="B510:D510"/>
    <mergeCell ref="B511:D511"/>
    <mergeCell ref="B512:D512"/>
    <mergeCell ref="B501:D501"/>
    <mergeCell ref="B502:D502"/>
    <mergeCell ref="B503:D503"/>
    <mergeCell ref="B504:D504"/>
    <mergeCell ref="B505:D505"/>
    <mergeCell ref="B506:D506"/>
    <mergeCell ref="B495:D495"/>
    <mergeCell ref="B496:D496"/>
    <mergeCell ref="B497:D497"/>
    <mergeCell ref="B498:D498"/>
    <mergeCell ref="B499:D499"/>
    <mergeCell ref="B500:D500"/>
    <mergeCell ref="B490:D490"/>
    <mergeCell ref="B491:D491"/>
    <mergeCell ref="B492:D492"/>
    <mergeCell ref="B493:D493"/>
    <mergeCell ref="B494:D494"/>
    <mergeCell ref="B484:D484"/>
    <mergeCell ref="B485:D485"/>
    <mergeCell ref="B486:D486"/>
    <mergeCell ref="B487:D487"/>
    <mergeCell ref="B488:D488"/>
    <mergeCell ref="B489:D489"/>
    <mergeCell ref="B478:D478"/>
    <mergeCell ref="B479:D479"/>
    <mergeCell ref="B480:D480"/>
    <mergeCell ref="B481:D481"/>
    <mergeCell ref="B482:D482"/>
    <mergeCell ref="B483:D483"/>
    <mergeCell ref="B472:D472"/>
    <mergeCell ref="B473:D473"/>
    <mergeCell ref="B474:D474"/>
    <mergeCell ref="B475:D475"/>
    <mergeCell ref="B476:D476"/>
    <mergeCell ref="B477:D477"/>
    <mergeCell ref="B466:D466"/>
    <mergeCell ref="B467:D467"/>
    <mergeCell ref="B468:D468"/>
    <mergeCell ref="B469:D469"/>
    <mergeCell ref="B470:D470"/>
    <mergeCell ref="B471:D471"/>
    <mergeCell ref="B460:D460"/>
    <mergeCell ref="B461:D461"/>
    <mergeCell ref="B462:D462"/>
    <mergeCell ref="B463:D463"/>
    <mergeCell ref="B464:D464"/>
    <mergeCell ref="B465:D465"/>
    <mergeCell ref="B454:D454"/>
    <mergeCell ref="B455:D455"/>
    <mergeCell ref="B456:D456"/>
    <mergeCell ref="B457:D457"/>
    <mergeCell ref="B458:D458"/>
    <mergeCell ref="B459:D459"/>
    <mergeCell ref="B448:D448"/>
    <mergeCell ref="B449:D449"/>
    <mergeCell ref="B450:D450"/>
    <mergeCell ref="B451:D451"/>
    <mergeCell ref="B452:D452"/>
    <mergeCell ref="B453:D453"/>
    <mergeCell ref="B442:D442"/>
    <mergeCell ref="B443:D443"/>
    <mergeCell ref="B444:D444"/>
    <mergeCell ref="B445:D445"/>
    <mergeCell ref="B446:D446"/>
    <mergeCell ref="B447:D447"/>
    <mergeCell ref="B437:D437"/>
    <mergeCell ref="B438:D438"/>
    <mergeCell ref="B439:D439"/>
    <mergeCell ref="B440:D440"/>
    <mergeCell ref="B441:D441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4:D384"/>
    <mergeCell ref="B385:D385"/>
    <mergeCell ref="B386:D386"/>
    <mergeCell ref="B387:D387"/>
    <mergeCell ref="B388:D388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25:D325"/>
    <mergeCell ref="B326:D326"/>
    <mergeCell ref="B327:D327"/>
    <mergeCell ref="B328:D328"/>
    <mergeCell ref="B329:D329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72:D272"/>
    <mergeCell ref="B273:D273"/>
    <mergeCell ref="B274:D274"/>
    <mergeCell ref="B275:D275"/>
    <mergeCell ref="B276:D276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42:D242"/>
    <mergeCell ref="B243:D243"/>
    <mergeCell ref="B244:D244"/>
    <mergeCell ref="B245:D245"/>
    <mergeCell ref="B246:D246"/>
    <mergeCell ref="B247:D247"/>
    <mergeCell ref="B236:D236"/>
    <mergeCell ref="B237:D237"/>
    <mergeCell ref="B238:D238"/>
    <mergeCell ref="B239:D239"/>
    <mergeCell ref="B240:D240"/>
    <mergeCell ref="B241:D241"/>
    <mergeCell ref="B230:D230"/>
    <mergeCell ref="B231:D231"/>
    <mergeCell ref="B232:D232"/>
    <mergeCell ref="B233:D233"/>
    <mergeCell ref="B234:D234"/>
    <mergeCell ref="B235:D235"/>
    <mergeCell ref="B224:D224"/>
    <mergeCell ref="B225:D225"/>
    <mergeCell ref="B226:D226"/>
    <mergeCell ref="B227:D227"/>
    <mergeCell ref="B228:D228"/>
    <mergeCell ref="B229:D229"/>
    <mergeCell ref="B219:D219"/>
    <mergeCell ref="B220:D220"/>
    <mergeCell ref="B221:D221"/>
    <mergeCell ref="B222:D222"/>
    <mergeCell ref="B223:D223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183:D183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171:D171"/>
    <mergeCell ref="B172:D172"/>
    <mergeCell ref="B173:D173"/>
    <mergeCell ref="B174:D174"/>
    <mergeCell ref="B175:D175"/>
    <mergeCell ref="B176:D176"/>
    <mergeCell ref="B166:D166"/>
    <mergeCell ref="B167:D167"/>
    <mergeCell ref="B168:D168"/>
    <mergeCell ref="B169:D169"/>
    <mergeCell ref="B170:D170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13:D113"/>
    <mergeCell ref="B114:D114"/>
    <mergeCell ref="B115:D115"/>
    <mergeCell ref="B116:D116"/>
    <mergeCell ref="B117:D117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60:D60"/>
    <mergeCell ref="B61:D61"/>
    <mergeCell ref="B62:D62"/>
    <mergeCell ref="B63:D63"/>
    <mergeCell ref="B64:D64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B18:D18"/>
    <mergeCell ref="B19:D19"/>
    <mergeCell ref="B20:D20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1:P44"/>
  <sheetViews>
    <sheetView workbookViewId="0">
      <selection activeCell="H338" sqref="H338"/>
    </sheetView>
  </sheetViews>
  <sheetFormatPr defaultRowHeight="12.75" x14ac:dyDescent="0.2"/>
  <cols>
    <col min="13" max="13" width="10" bestFit="1" customWidth="1"/>
    <col min="14" max="14" width="7.85546875" bestFit="1" customWidth="1"/>
    <col min="15" max="15" width="10" bestFit="1" customWidth="1"/>
    <col min="16" max="16" width="8.7109375" bestFit="1" customWidth="1"/>
  </cols>
  <sheetData>
    <row r="11" spans="6:16" x14ac:dyDescent="0.2">
      <c r="F11" s="369">
        <v>6210101</v>
      </c>
      <c r="G11" s="370"/>
      <c r="H11" s="370"/>
      <c r="I11" s="369" t="s">
        <v>1404</v>
      </c>
      <c r="J11" s="370"/>
      <c r="K11" s="370"/>
      <c r="L11" s="370"/>
      <c r="M11" s="177">
        <v>1837072.76</v>
      </c>
      <c r="N11" s="177">
        <v>84670.43</v>
      </c>
      <c r="O11" s="177">
        <v>2069064.17</v>
      </c>
      <c r="P11" s="177">
        <v>340938.51</v>
      </c>
    </row>
    <row r="12" spans="6:16" x14ac:dyDescent="0.2">
      <c r="F12" s="369" t="s">
        <v>1405</v>
      </c>
      <c r="G12" s="370"/>
      <c r="H12" s="370"/>
      <c r="I12" s="369" t="s">
        <v>1406</v>
      </c>
      <c r="J12" s="370"/>
      <c r="K12" s="370"/>
      <c r="L12" s="370"/>
      <c r="M12" s="177">
        <v>1283.3399999999999</v>
      </c>
      <c r="N12" s="27">
        <v>0</v>
      </c>
      <c r="O12" s="177">
        <v>55027.11</v>
      </c>
      <c r="P12" s="177">
        <v>25624.15</v>
      </c>
    </row>
    <row r="13" spans="6:16" x14ac:dyDescent="0.2">
      <c r="F13" s="369" t="s">
        <v>1580</v>
      </c>
      <c r="G13" s="370"/>
      <c r="H13" s="370"/>
      <c r="I13" s="369" t="s">
        <v>1581</v>
      </c>
      <c r="J13" s="370"/>
      <c r="K13" s="370"/>
      <c r="L13" s="370"/>
      <c r="M13" s="27">
        <v>0</v>
      </c>
      <c r="N13" s="177">
        <v>39109.31</v>
      </c>
      <c r="O13" s="27">
        <v>0</v>
      </c>
      <c r="P13" s="177">
        <v>81815.399999999994</v>
      </c>
    </row>
    <row r="14" spans="6:16" x14ac:dyDescent="0.2">
      <c r="F14" s="369" t="s">
        <v>1407</v>
      </c>
      <c r="G14" s="370"/>
      <c r="H14" s="370"/>
      <c r="I14" s="369" t="s">
        <v>1403</v>
      </c>
      <c r="J14" s="370"/>
      <c r="K14" s="370"/>
      <c r="L14" s="370"/>
      <c r="M14" s="177">
        <v>10067</v>
      </c>
      <c r="N14" s="177">
        <v>6986.81</v>
      </c>
      <c r="O14" s="177">
        <v>20765.07</v>
      </c>
      <c r="P14" s="177">
        <v>149902</v>
      </c>
    </row>
    <row r="15" spans="6:16" x14ac:dyDescent="0.2">
      <c r="F15" s="369" t="s">
        <v>1582</v>
      </c>
      <c r="G15" s="370"/>
      <c r="H15" s="370"/>
      <c r="I15" s="369" t="s">
        <v>1583</v>
      </c>
      <c r="J15" s="370"/>
      <c r="K15" s="370"/>
      <c r="L15" s="370"/>
      <c r="M15" s="27">
        <v>0</v>
      </c>
      <c r="N15" s="177">
        <v>38574.31</v>
      </c>
      <c r="O15" s="27">
        <v>0</v>
      </c>
      <c r="P15" s="177">
        <v>83596.960000000006</v>
      </c>
    </row>
    <row r="16" spans="6:16" x14ac:dyDescent="0.2">
      <c r="F16" s="369" t="s">
        <v>2042</v>
      </c>
      <c r="G16" s="370"/>
      <c r="H16" s="370"/>
      <c r="I16" s="369" t="s">
        <v>2043</v>
      </c>
      <c r="J16" s="370"/>
      <c r="K16" s="370"/>
      <c r="L16" s="370"/>
      <c r="M16" s="27">
        <v>0</v>
      </c>
      <c r="N16" s="27">
        <v>0</v>
      </c>
      <c r="O16" s="27">
        <v>0</v>
      </c>
      <c r="P16" s="27">
        <v>0</v>
      </c>
    </row>
    <row r="17" spans="6:16" x14ac:dyDescent="0.2">
      <c r="F17" s="369" t="s">
        <v>2044</v>
      </c>
      <c r="G17" s="370"/>
      <c r="H17" s="370"/>
      <c r="I17" s="369" t="s">
        <v>2045</v>
      </c>
      <c r="J17" s="370"/>
      <c r="K17" s="370"/>
      <c r="L17" s="370"/>
      <c r="M17" s="27">
        <v>0</v>
      </c>
      <c r="N17" s="27">
        <v>0</v>
      </c>
      <c r="O17" s="27">
        <v>0</v>
      </c>
      <c r="P17" s="27">
        <v>0</v>
      </c>
    </row>
    <row r="18" spans="6:16" x14ac:dyDescent="0.2">
      <c r="F18" s="369" t="s">
        <v>1408</v>
      </c>
      <c r="G18" s="370"/>
      <c r="H18" s="370"/>
      <c r="I18" s="369" t="s">
        <v>1409</v>
      </c>
      <c r="J18" s="370"/>
      <c r="K18" s="370"/>
      <c r="L18" s="370"/>
      <c r="M18" s="177">
        <v>1825222.42</v>
      </c>
      <c r="N18" s="27">
        <v>0</v>
      </c>
      <c r="O18" s="177">
        <v>1992771.99</v>
      </c>
      <c r="P18" s="27">
        <v>0</v>
      </c>
    </row>
    <row r="19" spans="6:16" x14ac:dyDescent="0.2">
      <c r="F19" s="369" t="s">
        <v>1873</v>
      </c>
      <c r="G19" s="370"/>
      <c r="H19" s="370"/>
      <c r="I19" s="369" t="s">
        <v>1874</v>
      </c>
      <c r="J19" s="370"/>
      <c r="K19" s="370"/>
      <c r="L19" s="370"/>
      <c r="M19" s="27">
        <v>500</v>
      </c>
      <c r="N19" s="27">
        <v>0</v>
      </c>
      <c r="O19" s="27">
        <v>500</v>
      </c>
      <c r="P19" s="27">
        <v>0</v>
      </c>
    </row>
    <row r="24" spans="6:16" x14ac:dyDescent="0.2">
      <c r="F24" s="369">
        <v>6210101</v>
      </c>
      <c r="G24" s="370"/>
      <c r="H24" s="370"/>
      <c r="I24" s="369" t="s">
        <v>1404</v>
      </c>
      <c r="J24" s="370"/>
      <c r="K24" s="370"/>
      <c r="L24" s="370"/>
      <c r="M24" s="177">
        <v>1837072.76</v>
      </c>
      <c r="N24" s="177">
        <v>84670.43</v>
      </c>
      <c r="O24" s="177">
        <v>2069064.17</v>
      </c>
      <c r="P24" s="177">
        <v>340938.51</v>
      </c>
    </row>
    <row r="25" spans="6:16" x14ac:dyDescent="0.2">
      <c r="F25" s="369" t="s">
        <v>1405</v>
      </c>
      <c r="G25" s="370"/>
      <c r="H25" s="370"/>
      <c r="I25" s="369" t="s">
        <v>1406</v>
      </c>
      <c r="J25" s="370"/>
      <c r="K25" s="370"/>
      <c r="L25" s="370"/>
      <c r="M25" s="177">
        <v>1283.3399999999999</v>
      </c>
      <c r="N25" s="27">
        <v>0</v>
      </c>
      <c r="O25" s="177">
        <v>55027.11</v>
      </c>
      <c r="P25" s="177">
        <v>25624.15</v>
      </c>
    </row>
    <row r="26" spans="6:16" x14ac:dyDescent="0.2">
      <c r="F26" s="369" t="s">
        <v>1580</v>
      </c>
      <c r="G26" s="370"/>
      <c r="H26" s="370"/>
      <c r="I26" s="369" t="s">
        <v>1581</v>
      </c>
      <c r="J26" s="370"/>
      <c r="K26" s="370"/>
      <c r="L26" s="370"/>
      <c r="M26" s="27">
        <v>0</v>
      </c>
      <c r="N26" s="177">
        <v>39109.31</v>
      </c>
      <c r="O26" s="27">
        <v>0</v>
      </c>
      <c r="P26" s="177">
        <v>81815.399999999994</v>
      </c>
    </row>
    <row r="27" spans="6:16" x14ac:dyDescent="0.2">
      <c r="F27" s="369" t="s">
        <v>1407</v>
      </c>
      <c r="G27" s="370"/>
      <c r="H27" s="370"/>
      <c r="I27" s="369" t="s">
        <v>1403</v>
      </c>
      <c r="J27" s="370"/>
      <c r="K27" s="370"/>
      <c r="L27" s="370"/>
      <c r="M27" s="177">
        <v>10067</v>
      </c>
      <c r="N27" s="177">
        <v>6986.81</v>
      </c>
      <c r="O27" s="177">
        <v>20765.07</v>
      </c>
      <c r="P27" s="177">
        <v>149902</v>
      </c>
    </row>
    <row r="28" spans="6:16" x14ac:dyDescent="0.2">
      <c r="F28" s="369" t="s">
        <v>1582</v>
      </c>
      <c r="G28" s="370"/>
      <c r="H28" s="370"/>
      <c r="I28" s="369" t="s">
        <v>1583</v>
      </c>
      <c r="J28" s="370"/>
      <c r="K28" s="370"/>
      <c r="L28" s="370"/>
      <c r="M28" s="27">
        <v>0</v>
      </c>
      <c r="N28" s="177">
        <v>38574.31</v>
      </c>
      <c r="O28" s="27">
        <v>0</v>
      </c>
      <c r="P28" s="177">
        <v>83596.960000000006</v>
      </c>
    </row>
    <row r="29" spans="6:16" x14ac:dyDescent="0.2">
      <c r="F29" s="369" t="s">
        <v>2042</v>
      </c>
      <c r="G29" s="370"/>
      <c r="H29" s="370"/>
      <c r="I29" s="369" t="s">
        <v>2043</v>
      </c>
      <c r="J29" s="370"/>
      <c r="K29" s="370"/>
      <c r="L29" s="370"/>
      <c r="M29" s="27">
        <v>0</v>
      </c>
      <c r="N29" s="27">
        <v>0</v>
      </c>
      <c r="O29" s="27">
        <v>0</v>
      </c>
      <c r="P29" s="27">
        <v>0</v>
      </c>
    </row>
    <row r="30" spans="6:16" x14ac:dyDescent="0.2">
      <c r="F30" s="369" t="s">
        <v>2044</v>
      </c>
      <c r="G30" s="370"/>
      <c r="H30" s="370"/>
      <c r="I30" s="369" t="s">
        <v>2045</v>
      </c>
      <c r="J30" s="370"/>
      <c r="K30" s="370"/>
      <c r="L30" s="370"/>
      <c r="M30" s="27">
        <v>0</v>
      </c>
      <c r="N30" s="27">
        <v>0</v>
      </c>
      <c r="O30" s="27">
        <v>0</v>
      </c>
      <c r="P30" s="27">
        <v>0</v>
      </c>
    </row>
    <row r="31" spans="6:16" x14ac:dyDescent="0.2">
      <c r="F31" s="369" t="s">
        <v>1408</v>
      </c>
      <c r="G31" s="370"/>
      <c r="H31" s="370"/>
      <c r="I31" s="369" t="s">
        <v>1409</v>
      </c>
      <c r="J31" s="370"/>
      <c r="K31" s="370"/>
      <c r="L31" s="370"/>
      <c r="M31" s="177">
        <v>1825222.42</v>
      </c>
      <c r="N31" s="27">
        <v>0</v>
      </c>
      <c r="O31" s="177">
        <v>1992771.99</v>
      </c>
      <c r="P31" s="27">
        <v>0</v>
      </c>
    </row>
    <row r="32" spans="6:16" x14ac:dyDescent="0.2">
      <c r="F32" s="369" t="s">
        <v>1873</v>
      </c>
      <c r="G32" s="370"/>
      <c r="H32" s="370"/>
      <c r="I32" s="369" t="s">
        <v>1874</v>
      </c>
      <c r="J32" s="370"/>
      <c r="K32" s="370"/>
      <c r="L32" s="370"/>
      <c r="M32" s="27">
        <v>500</v>
      </c>
      <c r="N32" s="27">
        <v>0</v>
      </c>
      <c r="O32" s="27">
        <v>500</v>
      </c>
      <c r="P32" s="27">
        <v>0</v>
      </c>
    </row>
    <row r="36" spans="9:16" x14ac:dyDescent="0.2">
      <c r="I36" s="369" t="s">
        <v>1404</v>
      </c>
      <c r="J36" s="370"/>
      <c r="K36" s="370"/>
      <c r="L36" s="370"/>
      <c r="M36" s="32">
        <f>M24/1000</f>
        <v>1837.07276</v>
      </c>
      <c r="N36" s="32">
        <f t="shared" ref="N36:P36" si="0">N24/1000</f>
        <v>84.670429999999996</v>
      </c>
      <c r="O36" s="32">
        <f t="shared" si="0"/>
        <v>2069.0641700000001</v>
      </c>
      <c r="P36" s="32">
        <f t="shared" si="0"/>
        <v>340.93851000000001</v>
      </c>
    </row>
    <row r="37" spans="9:16" x14ac:dyDescent="0.2">
      <c r="I37" s="369" t="s">
        <v>1406</v>
      </c>
      <c r="J37" s="370"/>
      <c r="K37" s="370"/>
      <c r="L37" s="370"/>
      <c r="M37" s="32">
        <f t="shared" ref="M37:P40" si="1">M25/1000</f>
        <v>1.2833399999999999</v>
      </c>
      <c r="N37" s="32">
        <f t="shared" si="1"/>
        <v>0</v>
      </c>
      <c r="O37" s="32">
        <f t="shared" si="1"/>
        <v>55.02711</v>
      </c>
      <c r="P37" s="32">
        <f t="shared" si="1"/>
        <v>25.62415</v>
      </c>
    </row>
    <row r="38" spans="9:16" x14ac:dyDescent="0.2">
      <c r="I38" s="369" t="s">
        <v>1581</v>
      </c>
      <c r="J38" s="370"/>
      <c r="K38" s="370"/>
      <c r="L38" s="370"/>
      <c r="M38" s="32">
        <f t="shared" si="1"/>
        <v>0</v>
      </c>
      <c r="N38" s="32">
        <f t="shared" si="1"/>
        <v>39.109310000000001</v>
      </c>
      <c r="O38" s="32">
        <f t="shared" si="1"/>
        <v>0</v>
      </c>
      <c r="P38" s="32">
        <f t="shared" si="1"/>
        <v>81.815399999999997</v>
      </c>
    </row>
    <row r="39" spans="9:16" x14ac:dyDescent="0.2">
      <c r="I39" s="369" t="s">
        <v>1403</v>
      </c>
      <c r="J39" s="370"/>
      <c r="K39" s="370"/>
      <c r="L39" s="370"/>
      <c r="M39" s="32">
        <f t="shared" si="1"/>
        <v>10.067</v>
      </c>
      <c r="N39" s="32">
        <f t="shared" si="1"/>
        <v>6.9868100000000002</v>
      </c>
      <c r="O39" s="32">
        <f t="shared" si="1"/>
        <v>20.765070000000001</v>
      </c>
      <c r="P39" s="32">
        <f t="shared" si="1"/>
        <v>149.90199999999999</v>
      </c>
    </row>
    <row r="40" spans="9:16" x14ac:dyDescent="0.2">
      <c r="I40" s="369" t="s">
        <v>1583</v>
      </c>
      <c r="J40" s="370"/>
      <c r="K40" s="370"/>
      <c r="L40" s="370"/>
      <c r="M40" s="32">
        <f t="shared" si="1"/>
        <v>0</v>
      </c>
      <c r="N40" s="32">
        <f t="shared" si="1"/>
        <v>38.574309999999997</v>
      </c>
      <c r="O40" s="32">
        <f t="shared" si="1"/>
        <v>0</v>
      </c>
      <c r="P40" s="32">
        <f t="shared" si="1"/>
        <v>83.59696000000001</v>
      </c>
    </row>
    <row r="41" spans="9:16" x14ac:dyDescent="0.2">
      <c r="I41" s="369" t="s">
        <v>1409</v>
      </c>
      <c r="J41" s="370"/>
      <c r="K41" s="370"/>
      <c r="L41" s="370"/>
      <c r="M41" s="32">
        <f t="shared" ref="M41:P42" si="2">M31/1000</f>
        <v>1825.2224199999998</v>
      </c>
      <c r="N41" s="32">
        <f t="shared" si="2"/>
        <v>0</v>
      </c>
      <c r="O41" s="32">
        <f t="shared" si="2"/>
        <v>1992.77199</v>
      </c>
      <c r="P41" s="32">
        <f t="shared" si="2"/>
        <v>0</v>
      </c>
    </row>
    <row r="42" spans="9:16" x14ac:dyDescent="0.2">
      <c r="I42" s="369" t="s">
        <v>1874</v>
      </c>
      <c r="J42" s="370"/>
      <c r="K42" s="370"/>
      <c r="L42" s="370"/>
      <c r="M42" s="32">
        <f t="shared" si="2"/>
        <v>0.5</v>
      </c>
      <c r="N42" s="32">
        <f t="shared" si="2"/>
        <v>0</v>
      </c>
      <c r="O42" s="32">
        <f t="shared" si="2"/>
        <v>0.5</v>
      </c>
      <c r="P42" s="32">
        <f t="shared" si="2"/>
        <v>0</v>
      </c>
    </row>
    <row r="43" spans="9:16" x14ac:dyDescent="0.2">
      <c r="M43" s="266"/>
      <c r="N43" s="266"/>
      <c r="O43" s="266"/>
      <c r="P43" s="266"/>
    </row>
    <row r="44" spans="9:16" x14ac:dyDescent="0.2">
      <c r="I44" s="27"/>
      <c r="J44" s="27"/>
      <c r="K44" s="27"/>
      <c r="L44" s="177"/>
      <c r="M44" s="266"/>
      <c r="N44" s="266"/>
      <c r="O44" s="266"/>
      <c r="P44" s="266"/>
    </row>
  </sheetData>
  <mergeCells count="43">
    <mergeCell ref="I41:L41"/>
    <mergeCell ref="I42:L42"/>
    <mergeCell ref="I36:L36"/>
    <mergeCell ref="I37:L37"/>
    <mergeCell ref="I38:L38"/>
    <mergeCell ref="I39:L39"/>
    <mergeCell ref="I40:L40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24:H24"/>
    <mergeCell ref="I24:L24"/>
    <mergeCell ref="F25:H25"/>
    <mergeCell ref="I25:L25"/>
    <mergeCell ref="F26:H26"/>
    <mergeCell ref="I26:L26"/>
    <mergeCell ref="F17:H17"/>
    <mergeCell ref="I17:L17"/>
    <mergeCell ref="F18:H18"/>
    <mergeCell ref="I18:L18"/>
    <mergeCell ref="F19:H19"/>
    <mergeCell ref="I19:L19"/>
    <mergeCell ref="F14:H14"/>
    <mergeCell ref="I14:L14"/>
    <mergeCell ref="F15:H15"/>
    <mergeCell ref="I15:L15"/>
    <mergeCell ref="F16:H16"/>
    <mergeCell ref="I16:L16"/>
    <mergeCell ref="F11:H11"/>
    <mergeCell ref="I11:L11"/>
    <mergeCell ref="F12:H12"/>
    <mergeCell ref="I12:L12"/>
    <mergeCell ref="F13:H13"/>
    <mergeCell ref="I13:L1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Q30"/>
  <sheetViews>
    <sheetView showGridLines="0" topLeftCell="A4" workbookViewId="0">
      <selection activeCell="H338" sqref="H338"/>
    </sheetView>
  </sheetViews>
  <sheetFormatPr defaultRowHeight="12.75" x14ac:dyDescent="0.2"/>
  <cols>
    <col min="4" max="5" width="27" customWidth="1"/>
  </cols>
  <sheetData>
    <row r="11" spans="17:17" x14ac:dyDescent="0.2">
      <c r="Q11" s="286">
        <v>36.36</v>
      </c>
    </row>
    <row r="12" spans="17:17" x14ac:dyDescent="0.2">
      <c r="Q12" s="286">
        <v>1007.47</v>
      </c>
    </row>
    <row r="13" spans="17:17" x14ac:dyDescent="0.2">
      <c r="Q13" s="286">
        <v>106.94</v>
      </c>
    </row>
    <row r="14" spans="17:17" x14ac:dyDescent="0.2">
      <c r="Q14" s="286">
        <v>92.39</v>
      </c>
    </row>
    <row r="15" spans="17:17" x14ac:dyDescent="0.2">
      <c r="Q15">
        <v>26.36</v>
      </c>
    </row>
    <row r="16" spans="17:17" x14ac:dyDescent="0.2">
      <c r="Q16" s="286">
        <v>67.72</v>
      </c>
    </row>
    <row r="17" spans="3:17" x14ac:dyDescent="0.2">
      <c r="Q17" s="286">
        <v>1093.8800000000001</v>
      </c>
    </row>
    <row r="18" spans="3:17" x14ac:dyDescent="0.2">
      <c r="Q18" s="286">
        <v>31.36</v>
      </c>
    </row>
    <row r="19" spans="3:17" x14ac:dyDescent="0.2">
      <c r="Q19" s="286">
        <v>89.08</v>
      </c>
    </row>
    <row r="20" spans="3:17" x14ac:dyDescent="0.2">
      <c r="Q20" s="286">
        <v>52.72</v>
      </c>
    </row>
    <row r="21" spans="3:17" x14ac:dyDescent="0.2">
      <c r="Q21" s="286">
        <v>213.88</v>
      </c>
    </row>
    <row r="22" spans="3:17" ht="13.5" thickBot="1" x14ac:dyDescent="0.25">
      <c r="Q22" s="286">
        <v>2740.89</v>
      </c>
    </row>
    <row r="23" spans="3:17" ht="15.75" thickBot="1" x14ac:dyDescent="0.3">
      <c r="C23" s="288"/>
      <c r="D23" s="222" t="s">
        <v>2086</v>
      </c>
      <c r="E23" s="273" t="s">
        <v>2087</v>
      </c>
      <c r="Q23">
        <f>SUM(Q11:Q22)</f>
        <v>5559.0499999999993</v>
      </c>
    </row>
    <row r="24" spans="3:17" ht="15" x14ac:dyDescent="0.25">
      <c r="C24" s="288"/>
      <c r="D24" s="194" t="s">
        <v>2088</v>
      </c>
      <c r="E24" s="287">
        <v>-78716</v>
      </c>
    </row>
    <row r="25" spans="3:17" ht="26.25" x14ac:dyDescent="0.25">
      <c r="C25" s="288"/>
      <c r="D25" s="194" t="s">
        <v>2089</v>
      </c>
      <c r="E25" s="205">
        <v>-931</v>
      </c>
    </row>
    <row r="26" spans="3:17" s="285" customFormat="1" ht="26.25" x14ac:dyDescent="0.25">
      <c r="C26" s="288"/>
      <c r="D26" s="194" t="s">
        <v>2092</v>
      </c>
      <c r="E26" s="205">
        <v>-3517</v>
      </c>
    </row>
    <row r="27" spans="3:17" ht="26.25" x14ac:dyDescent="0.25">
      <c r="C27" s="288"/>
      <c r="D27" s="194" t="s">
        <v>2090</v>
      </c>
      <c r="E27" s="287">
        <v>-1797</v>
      </c>
    </row>
    <row r="28" spans="3:17" ht="15.75" thickBot="1" x14ac:dyDescent="0.3">
      <c r="C28" s="288"/>
      <c r="D28" s="240"/>
      <c r="E28" s="318"/>
    </row>
    <row r="29" spans="3:17" ht="15.75" thickBot="1" x14ac:dyDescent="0.3">
      <c r="C29" s="288"/>
      <c r="D29" s="234" t="s">
        <v>1912</v>
      </c>
      <c r="E29" s="230">
        <f>SUM(E24:E28)</f>
        <v>-84961</v>
      </c>
    </row>
    <row r="30" spans="3:17" x14ac:dyDescent="0.2">
      <c r="C30" s="319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8" sqref="H3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8"/>
  <sheetViews>
    <sheetView topLeftCell="A602" zoomScale="166" zoomScaleNormal="166" workbookViewId="0">
      <selection activeCell="A610" sqref="A610"/>
    </sheetView>
  </sheetViews>
  <sheetFormatPr defaultRowHeight="12.75" x14ac:dyDescent="0.2"/>
  <cols>
    <col min="1" max="1" width="13.85546875" style="321" customWidth="1"/>
    <col min="2" max="2" width="2.140625" style="321" customWidth="1"/>
    <col min="3" max="3" width="23.5703125" style="321" customWidth="1"/>
    <col min="4" max="4" width="26.85546875" style="321" customWidth="1"/>
    <col min="5" max="5" width="16.140625" style="321" customWidth="1"/>
    <col min="6" max="6" width="15.42578125" style="321" customWidth="1"/>
    <col min="7" max="7" width="2.140625" style="321" customWidth="1"/>
    <col min="8" max="8" width="14" style="321" customWidth="1"/>
    <col min="9" max="9" width="2.140625" style="321" customWidth="1"/>
    <col min="10" max="10" width="15.42578125" style="321" customWidth="1"/>
    <col min="11" max="256" width="9.140625" style="321"/>
    <col min="257" max="257" width="13.85546875" style="321" customWidth="1"/>
    <col min="258" max="258" width="2.140625" style="321" customWidth="1"/>
    <col min="259" max="259" width="23.5703125" style="321" customWidth="1"/>
    <col min="260" max="260" width="26.85546875" style="321" customWidth="1"/>
    <col min="261" max="261" width="16.140625" style="321" customWidth="1"/>
    <col min="262" max="262" width="15.42578125" style="321" customWidth="1"/>
    <col min="263" max="263" width="2.140625" style="321" customWidth="1"/>
    <col min="264" max="264" width="14" style="321" customWidth="1"/>
    <col min="265" max="265" width="2.140625" style="321" customWidth="1"/>
    <col min="266" max="266" width="15.42578125" style="321" customWidth="1"/>
    <col min="267" max="512" width="9.140625" style="321"/>
    <col min="513" max="513" width="13.85546875" style="321" customWidth="1"/>
    <col min="514" max="514" width="2.140625" style="321" customWidth="1"/>
    <col min="515" max="515" width="23.5703125" style="321" customWidth="1"/>
    <col min="516" max="516" width="26.85546875" style="321" customWidth="1"/>
    <col min="517" max="517" width="16.140625" style="321" customWidth="1"/>
    <col min="518" max="518" width="15.42578125" style="321" customWidth="1"/>
    <col min="519" max="519" width="2.140625" style="321" customWidth="1"/>
    <col min="520" max="520" width="14" style="321" customWidth="1"/>
    <col min="521" max="521" width="2.140625" style="321" customWidth="1"/>
    <col min="522" max="522" width="15.42578125" style="321" customWidth="1"/>
    <col min="523" max="768" width="9.140625" style="321"/>
    <col min="769" max="769" width="13.85546875" style="321" customWidth="1"/>
    <col min="770" max="770" width="2.140625" style="321" customWidth="1"/>
    <col min="771" max="771" width="23.5703125" style="321" customWidth="1"/>
    <col min="772" max="772" width="26.85546875" style="321" customWidth="1"/>
    <col min="773" max="773" width="16.140625" style="321" customWidth="1"/>
    <col min="774" max="774" width="15.42578125" style="321" customWidth="1"/>
    <col min="775" max="775" width="2.140625" style="321" customWidth="1"/>
    <col min="776" max="776" width="14" style="321" customWidth="1"/>
    <col min="777" max="777" width="2.140625" style="321" customWidth="1"/>
    <col min="778" max="778" width="15.42578125" style="321" customWidth="1"/>
    <col min="779" max="1024" width="9.140625" style="321"/>
    <col min="1025" max="1025" width="13.85546875" style="321" customWidth="1"/>
    <col min="1026" max="1026" width="2.140625" style="321" customWidth="1"/>
    <col min="1027" max="1027" width="23.5703125" style="321" customWidth="1"/>
    <col min="1028" max="1028" width="26.85546875" style="321" customWidth="1"/>
    <col min="1029" max="1029" width="16.140625" style="321" customWidth="1"/>
    <col min="1030" max="1030" width="15.42578125" style="321" customWidth="1"/>
    <col min="1031" max="1031" width="2.140625" style="321" customWidth="1"/>
    <col min="1032" max="1032" width="14" style="321" customWidth="1"/>
    <col min="1033" max="1033" width="2.140625" style="321" customWidth="1"/>
    <col min="1034" max="1034" width="15.42578125" style="321" customWidth="1"/>
    <col min="1035" max="1280" width="9.140625" style="321"/>
    <col min="1281" max="1281" width="13.85546875" style="321" customWidth="1"/>
    <col min="1282" max="1282" width="2.140625" style="321" customWidth="1"/>
    <col min="1283" max="1283" width="23.5703125" style="321" customWidth="1"/>
    <col min="1284" max="1284" width="26.85546875" style="321" customWidth="1"/>
    <col min="1285" max="1285" width="16.140625" style="321" customWidth="1"/>
    <col min="1286" max="1286" width="15.42578125" style="321" customWidth="1"/>
    <col min="1287" max="1287" width="2.140625" style="321" customWidth="1"/>
    <col min="1288" max="1288" width="14" style="321" customWidth="1"/>
    <col min="1289" max="1289" width="2.140625" style="321" customWidth="1"/>
    <col min="1290" max="1290" width="15.42578125" style="321" customWidth="1"/>
    <col min="1291" max="1536" width="9.140625" style="321"/>
    <col min="1537" max="1537" width="13.85546875" style="321" customWidth="1"/>
    <col min="1538" max="1538" width="2.140625" style="321" customWidth="1"/>
    <col min="1539" max="1539" width="23.5703125" style="321" customWidth="1"/>
    <col min="1540" max="1540" width="26.85546875" style="321" customWidth="1"/>
    <col min="1541" max="1541" width="16.140625" style="321" customWidth="1"/>
    <col min="1542" max="1542" width="15.42578125" style="321" customWidth="1"/>
    <col min="1543" max="1543" width="2.140625" style="321" customWidth="1"/>
    <col min="1544" max="1544" width="14" style="321" customWidth="1"/>
    <col min="1545" max="1545" width="2.140625" style="321" customWidth="1"/>
    <col min="1546" max="1546" width="15.42578125" style="321" customWidth="1"/>
    <col min="1547" max="1792" width="9.140625" style="321"/>
    <col min="1793" max="1793" width="13.85546875" style="321" customWidth="1"/>
    <col min="1794" max="1794" width="2.140625" style="321" customWidth="1"/>
    <col min="1795" max="1795" width="23.5703125" style="321" customWidth="1"/>
    <col min="1796" max="1796" width="26.85546875" style="321" customWidth="1"/>
    <col min="1797" max="1797" width="16.140625" style="321" customWidth="1"/>
    <col min="1798" max="1798" width="15.42578125" style="321" customWidth="1"/>
    <col min="1799" max="1799" width="2.140625" style="321" customWidth="1"/>
    <col min="1800" max="1800" width="14" style="321" customWidth="1"/>
    <col min="1801" max="1801" width="2.140625" style="321" customWidth="1"/>
    <col min="1802" max="1802" width="15.42578125" style="321" customWidth="1"/>
    <col min="1803" max="2048" width="9.140625" style="321"/>
    <col min="2049" max="2049" width="13.85546875" style="321" customWidth="1"/>
    <col min="2050" max="2050" width="2.140625" style="321" customWidth="1"/>
    <col min="2051" max="2051" width="23.5703125" style="321" customWidth="1"/>
    <col min="2052" max="2052" width="26.85546875" style="321" customWidth="1"/>
    <col min="2053" max="2053" width="16.140625" style="321" customWidth="1"/>
    <col min="2054" max="2054" width="15.42578125" style="321" customWidth="1"/>
    <col min="2055" max="2055" width="2.140625" style="321" customWidth="1"/>
    <col min="2056" max="2056" width="14" style="321" customWidth="1"/>
    <col min="2057" max="2057" width="2.140625" style="321" customWidth="1"/>
    <col min="2058" max="2058" width="15.42578125" style="321" customWidth="1"/>
    <col min="2059" max="2304" width="9.140625" style="321"/>
    <col min="2305" max="2305" width="13.85546875" style="321" customWidth="1"/>
    <col min="2306" max="2306" width="2.140625" style="321" customWidth="1"/>
    <col min="2307" max="2307" width="23.5703125" style="321" customWidth="1"/>
    <col min="2308" max="2308" width="26.85546875" style="321" customWidth="1"/>
    <col min="2309" max="2309" width="16.140625" style="321" customWidth="1"/>
    <col min="2310" max="2310" width="15.42578125" style="321" customWidth="1"/>
    <col min="2311" max="2311" width="2.140625" style="321" customWidth="1"/>
    <col min="2312" max="2312" width="14" style="321" customWidth="1"/>
    <col min="2313" max="2313" width="2.140625" style="321" customWidth="1"/>
    <col min="2314" max="2314" width="15.42578125" style="321" customWidth="1"/>
    <col min="2315" max="2560" width="9.140625" style="321"/>
    <col min="2561" max="2561" width="13.85546875" style="321" customWidth="1"/>
    <col min="2562" max="2562" width="2.140625" style="321" customWidth="1"/>
    <col min="2563" max="2563" width="23.5703125" style="321" customWidth="1"/>
    <col min="2564" max="2564" width="26.85546875" style="321" customWidth="1"/>
    <col min="2565" max="2565" width="16.140625" style="321" customWidth="1"/>
    <col min="2566" max="2566" width="15.42578125" style="321" customWidth="1"/>
    <col min="2567" max="2567" width="2.140625" style="321" customWidth="1"/>
    <col min="2568" max="2568" width="14" style="321" customWidth="1"/>
    <col min="2569" max="2569" width="2.140625" style="321" customWidth="1"/>
    <col min="2570" max="2570" width="15.42578125" style="321" customWidth="1"/>
    <col min="2571" max="2816" width="9.140625" style="321"/>
    <col min="2817" max="2817" width="13.85546875" style="321" customWidth="1"/>
    <col min="2818" max="2818" width="2.140625" style="321" customWidth="1"/>
    <col min="2819" max="2819" width="23.5703125" style="321" customWidth="1"/>
    <col min="2820" max="2820" width="26.85546875" style="321" customWidth="1"/>
    <col min="2821" max="2821" width="16.140625" style="321" customWidth="1"/>
    <col min="2822" max="2822" width="15.42578125" style="321" customWidth="1"/>
    <col min="2823" max="2823" width="2.140625" style="321" customWidth="1"/>
    <col min="2824" max="2824" width="14" style="321" customWidth="1"/>
    <col min="2825" max="2825" width="2.140625" style="321" customWidth="1"/>
    <col min="2826" max="2826" width="15.42578125" style="321" customWidth="1"/>
    <col min="2827" max="3072" width="9.140625" style="321"/>
    <col min="3073" max="3073" width="13.85546875" style="321" customWidth="1"/>
    <col min="3074" max="3074" width="2.140625" style="321" customWidth="1"/>
    <col min="3075" max="3075" width="23.5703125" style="321" customWidth="1"/>
    <col min="3076" max="3076" width="26.85546875" style="321" customWidth="1"/>
    <col min="3077" max="3077" width="16.140625" style="321" customWidth="1"/>
    <col min="3078" max="3078" width="15.42578125" style="321" customWidth="1"/>
    <col min="3079" max="3079" width="2.140625" style="321" customWidth="1"/>
    <col min="3080" max="3080" width="14" style="321" customWidth="1"/>
    <col min="3081" max="3081" width="2.140625" style="321" customWidth="1"/>
    <col min="3082" max="3082" width="15.42578125" style="321" customWidth="1"/>
    <col min="3083" max="3328" width="9.140625" style="321"/>
    <col min="3329" max="3329" width="13.85546875" style="321" customWidth="1"/>
    <col min="3330" max="3330" width="2.140625" style="321" customWidth="1"/>
    <col min="3331" max="3331" width="23.5703125" style="321" customWidth="1"/>
    <col min="3332" max="3332" width="26.85546875" style="321" customWidth="1"/>
    <col min="3333" max="3333" width="16.140625" style="321" customWidth="1"/>
    <col min="3334" max="3334" width="15.42578125" style="321" customWidth="1"/>
    <col min="3335" max="3335" width="2.140625" style="321" customWidth="1"/>
    <col min="3336" max="3336" width="14" style="321" customWidth="1"/>
    <col min="3337" max="3337" width="2.140625" style="321" customWidth="1"/>
    <col min="3338" max="3338" width="15.42578125" style="321" customWidth="1"/>
    <col min="3339" max="3584" width="9.140625" style="321"/>
    <col min="3585" max="3585" width="13.85546875" style="321" customWidth="1"/>
    <col min="3586" max="3586" width="2.140625" style="321" customWidth="1"/>
    <col min="3587" max="3587" width="23.5703125" style="321" customWidth="1"/>
    <col min="3588" max="3588" width="26.85546875" style="321" customWidth="1"/>
    <col min="3589" max="3589" width="16.140625" style="321" customWidth="1"/>
    <col min="3590" max="3590" width="15.42578125" style="321" customWidth="1"/>
    <col min="3591" max="3591" width="2.140625" style="321" customWidth="1"/>
    <col min="3592" max="3592" width="14" style="321" customWidth="1"/>
    <col min="3593" max="3593" width="2.140625" style="321" customWidth="1"/>
    <col min="3594" max="3594" width="15.42578125" style="321" customWidth="1"/>
    <col min="3595" max="3840" width="9.140625" style="321"/>
    <col min="3841" max="3841" width="13.85546875" style="321" customWidth="1"/>
    <col min="3842" max="3842" width="2.140625" style="321" customWidth="1"/>
    <col min="3843" max="3843" width="23.5703125" style="321" customWidth="1"/>
    <col min="3844" max="3844" width="26.85546875" style="321" customWidth="1"/>
    <col min="3845" max="3845" width="16.140625" style="321" customWidth="1"/>
    <col min="3846" max="3846" width="15.42578125" style="321" customWidth="1"/>
    <col min="3847" max="3847" width="2.140625" style="321" customWidth="1"/>
    <col min="3848" max="3848" width="14" style="321" customWidth="1"/>
    <col min="3849" max="3849" width="2.140625" style="321" customWidth="1"/>
    <col min="3850" max="3850" width="15.42578125" style="321" customWidth="1"/>
    <col min="3851" max="4096" width="9.140625" style="321"/>
    <col min="4097" max="4097" width="13.85546875" style="321" customWidth="1"/>
    <col min="4098" max="4098" width="2.140625" style="321" customWidth="1"/>
    <col min="4099" max="4099" width="23.5703125" style="321" customWidth="1"/>
    <col min="4100" max="4100" width="26.85546875" style="321" customWidth="1"/>
    <col min="4101" max="4101" width="16.140625" style="321" customWidth="1"/>
    <col min="4102" max="4102" width="15.42578125" style="321" customWidth="1"/>
    <col min="4103" max="4103" width="2.140625" style="321" customWidth="1"/>
    <col min="4104" max="4104" width="14" style="321" customWidth="1"/>
    <col min="4105" max="4105" width="2.140625" style="321" customWidth="1"/>
    <col min="4106" max="4106" width="15.42578125" style="321" customWidth="1"/>
    <col min="4107" max="4352" width="9.140625" style="321"/>
    <col min="4353" max="4353" width="13.85546875" style="321" customWidth="1"/>
    <col min="4354" max="4354" width="2.140625" style="321" customWidth="1"/>
    <col min="4355" max="4355" width="23.5703125" style="321" customWidth="1"/>
    <col min="4356" max="4356" width="26.85546875" style="321" customWidth="1"/>
    <col min="4357" max="4357" width="16.140625" style="321" customWidth="1"/>
    <col min="4358" max="4358" width="15.42578125" style="321" customWidth="1"/>
    <col min="4359" max="4359" width="2.140625" style="321" customWidth="1"/>
    <col min="4360" max="4360" width="14" style="321" customWidth="1"/>
    <col min="4361" max="4361" width="2.140625" style="321" customWidth="1"/>
    <col min="4362" max="4362" width="15.42578125" style="321" customWidth="1"/>
    <col min="4363" max="4608" width="9.140625" style="321"/>
    <col min="4609" max="4609" width="13.85546875" style="321" customWidth="1"/>
    <col min="4610" max="4610" width="2.140625" style="321" customWidth="1"/>
    <col min="4611" max="4611" width="23.5703125" style="321" customWidth="1"/>
    <col min="4612" max="4612" width="26.85546875" style="321" customWidth="1"/>
    <col min="4613" max="4613" width="16.140625" style="321" customWidth="1"/>
    <col min="4614" max="4614" width="15.42578125" style="321" customWidth="1"/>
    <col min="4615" max="4615" width="2.140625" style="321" customWidth="1"/>
    <col min="4616" max="4616" width="14" style="321" customWidth="1"/>
    <col min="4617" max="4617" width="2.140625" style="321" customWidth="1"/>
    <col min="4618" max="4618" width="15.42578125" style="321" customWidth="1"/>
    <col min="4619" max="4864" width="9.140625" style="321"/>
    <col min="4865" max="4865" width="13.85546875" style="321" customWidth="1"/>
    <col min="4866" max="4866" width="2.140625" style="321" customWidth="1"/>
    <col min="4867" max="4867" width="23.5703125" style="321" customWidth="1"/>
    <col min="4868" max="4868" width="26.85546875" style="321" customWidth="1"/>
    <col min="4869" max="4869" width="16.140625" style="321" customWidth="1"/>
    <col min="4870" max="4870" width="15.42578125" style="321" customWidth="1"/>
    <col min="4871" max="4871" width="2.140625" style="321" customWidth="1"/>
    <col min="4872" max="4872" width="14" style="321" customWidth="1"/>
    <col min="4873" max="4873" width="2.140625" style="321" customWidth="1"/>
    <col min="4874" max="4874" width="15.42578125" style="321" customWidth="1"/>
    <col min="4875" max="5120" width="9.140625" style="321"/>
    <col min="5121" max="5121" width="13.85546875" style="321" customWidth="1"/>
    <col min="5122" max="5122" width="2.140625" style="321" customWidth="1"/>
    <col min="5123" max="5123" width="23.5703125" style="321" customWidth="1"/>
    <col min="5124" max="5124" width="26.85546875" style="321" customWidth="1"/>
    <col min="5125" max="5125" width="16.140625" style="321" customWidth="1"/>
    <col min="5126" max="5126" width="15.42578125" style="321" customWidth="1"/>
    <col min="5127" max="5127" width="2.140625" style="321" customWidth="1"/>
    <col min="5128" max="5128" width="14" style="321" customWidth="1"/>
    <col min="5129" max="5129" width="2.140625" style="321" customWidth="1"/>
    <col min="5130" max="5130" width="15.42578125" style="321" customWidth="1"/>
    <col min="5131" max="5376" width="9.140625" style="321"/>
    <col min="5377" max="5377" width="13.85546875" style="321" customWidth="1"/>
    <col min="5378" max="5378" width="2.140625" style="321" customWidth="1"/>
    <col min="5379" max="5379" width="23.5703125" style="321" customWidth="1"/>
    <col min="5380" max="5380" width="26.85546875" style="321" customWidth="1"/>
    <col min="5381" max="5381" width="16.140625" style="321" customWidth="1"/>
    <col min="5382" max="5382" width="15.42578125" style="321" customWidth="1"/>
    <col min="5383" max="5383" width="2.140625" style="321" customWidth="1"/>
    <col min="5384" max="5384" width="14" style="321" customWidth="1"/>
    <col min="5385" max="5385" width="2.140625" style="321" customWidth="1"/>
    <col min="5386" max="5386" width="15.42578125" style="321" customWidth="1"/>
    <col min="5387" max="5632" width="9.140625" style="321"/>
    <col min="5633" max="5633" width="13.85546875" style="321" customWidth="1"/>
    <col min="5634" max="5634" width="2.140625" style="321" customWidth="1"/>
    <col min="5635" max="5635" width="23.5703125" style="321" customWidth="1"/>
    <col min="5636" max="5636" width="26.85546875" style="321" customWidth="1"/>
    <col min="5637" max="5637" width="16.140625" style="321" customWidth="1"/>
    <col min="5638" max="5638" width="15.42578125" style="321" customWidth="1"/>
    <col min="5639" max="5639" width="2.140625" style="321" customWidth="1"/>
    <col min="5640" max="5640" width="14" style="321" customWidth="1"/>
    <col min="5641" max="5641" width="2.140625" style="321" customWidth="1"/>
    <col min="5642" max="5642" width="15.42578125" style="321" customWidth="1"/>
    <col min="5643" max="5888" width="9.140625" style="321"/>
    <col min="5889" max="5889" width="13.85546875" style="321" customWidth="1"/>
    <col min="5890" max="5890" width="2.140625" style="321" customWidth="1"/>
    <col min="5891" max="5891" width="23.5703125" style="321" customWidth="1"/>
    <col min="5892" max="5892" width="26.85546875" style="321" customWidth="1"/>
    <col min="5893" max="5893" width="16.140625" style="321" customWidth="1"/>
    <col min="5894" max="5894" width="15.42578125" style="321" customWidth="1"/>
    <col min="5895" max="5895" width="2.140625" style="321" customWidth="1"/>
    <col min="5896" max="5896" width="14" style="321" customWidth="1"/>
    <col min="5897" max="5897" width="2.140625" style="321" customWidth="1"/>
    <col min="5898" max="5898" width="15.42578125" style="321" customWidth="1"/>
    <col min="5899" max="6144" width="9.140625" style="321"/>
    <col min="6145" max="6145" width="13.85546875" style="321" customWidth="1"/>
    <col min="6146" max="6146" width="2.140625" style="321" customWidth="1"/>
    <col min="6147" max="6147" width="23.5703125" style="321" customWidth="1"/>
    <col min="6148" max="6148" width="26.85546875" style="321" customWidth="1"/>
    <col min="6149" max="6149" width="16.140625" style="321" customWidth="1"/>
    <col min="6150" max="6150" width="15.42578125" style="321" customWidth="1"/>
    <col min="6151" max="6151" width="2.140625" style="321" customWidth="1"/>
    <col min="6152" max="6152" width="14" style="321" customWidth="1"/>
    <col min="6153" max="6153" width="2.140625" style="321" customWidth="1"/>
    <col min="6154" max="6154" width="15.42578125" style="321" customWidth="1"/>
    <col min="6155" max="6400" width="9.140625" style="321"/>
    <col min="6401" max="6401" width="13.85546875" style="321" customWidth="1"/>
    <col min="6402" max="6402" width="2.140625" style="321" customWidth="1"/>
    <col min="6403" max="6403" width="23.5703125" style="321" customWidth="1"/>
    <col min="6404" max="6404" width="26.85546875" style="321" customWidth="1"/>
    <col min="6405" max="6405" width="16.140625" style="321" customWidth="1"/>
    <col min="6406" max="6406" width="15.42578125" style="321" customWidth="1"/>
    <col min="6407" max="6407" width="2.140625" style="321" customWidth="1"/>
    <col min="6408" max="6408" width="14" style="321" customWidth="1"/>
    <col min="6409" max="6409" width="2.140625" style="321" customWidth="1"/>
    <col min="6410" max="6410" width="15.42578125" style="321" customWidth="1"/>
    <col min="6411" max="6656" width="9.140625" style="321"/>
    <col min="6657" max="6657" width="13.85546875" style="321" customWidth="1"/>
    <col min="6658" max="6658" width="2.140625" style="321" customWidth="1"/>
    <col min="6659" max="6659" width="23.5703125" style="321" customWidth="1"/>
    <col min="6660" max="6660" width="26.85546875" style="321" customWidth="1"/>
    <col min="6661" max="6661" width="16.140625" style="321" customWidth="1"/>
    <col min="6662" max="6662" width="15.42578125" style="321" customWidth="1"/>
    <col min="6663" max="6663" width="2.140625" style="321" customWidth="1"/>
    <col min="6664" max="6664" width="14" style="321" customWidth="1"/>
    <col min="6665" max="6665" width="2.140625" style="321" customWidth="1"/>
    <col min="6666" max="6666" width="15.42578125" style="321" customWidth="1"/>
    <col min="6667" max="6912" width="9.140625" style="321"/>
    <col min="6913" max="6913" width="13.85546875" style="321" customWidth="1"/>
    <col min="6914" max="6914" width="2.140625" style="321" customWidth="1"/>
    <col min="6915" max="6915" width="23.5703125" style="321" customWidth="1"/>
    <col min="6916" max="6916" width="26.85546875" style="321" customWidth="1"/>
    <col min="6917" max="6917" width="16.140625" style="321" customWidth="1"/>
    <col min="6918" max="6918" width="15.42578125" style="321" customWidth="1"/>
    <col min="6919" max="6919" width="2.140625" style="321" customWidth="1"/>
    <col min="6920" max="6920" width="14" style="321" customWidth="1"/>
    <col min="6921" max="6921" width="2.140625" style="321" customWidth="1"/>
    <col min="6922" max="6922" width="15.42578125" style="321" customWidth="1"/>
    <col min="6923" max="7168" width="9.140625" style="321"/>
    <col min="7169" max="7169" width="13.85546875" style="321" customWidth="1"/>
    <col min="7170" max="7170" width="2.140625" style="321" customWidth="1"/>
    <col min="7171" max="7171" width="23.5703125" style="321" customWidth="1"/>
    <col min="7172" max="7172" width="26.85546875" style="321" customWidth="1"/>
    <col min="7173" max="7173" width="16.140625" style="321" customWidth="1"/>
    <col min="7174" max="7174" width="15.42578125" style="321" customWidth="1"/>
    <col min="7175" max="7175" width="2.140625" style="321" customWidth="1"/>
    <col min="7176" max="7176" width="14" style="321" customWidth="1"/>
    <col min="7177" max="7177" width="2.140625" style="321" customWidth="1"/>
    <col min="7178" max="7178" width="15.42578125" style="321" customWidth="1"/>
    <col min="7179" max="7424" width="9.140625" style="321"/>
    <col min="7425" max="7425" width="13.85546875" style="321" customWidth="1"/>
    <col min="7426" max="7426" width="2.140625" style="321" customWidth="1"/>
    <col min="7427" max="7427" width="23.5703125" style="321" customWidth="1"/>
    <col min="7428" max="7428" width="26.85546875" style="321" customWidth="1"/>
    <col min="7429" max="7429" width="16.140625" style="321" customWidth="1"/>
    <col min="7430" max="7430" width="15.42578125" style="321" customWidth="1"/>
    <col min="7431" max="7431" width="2.140625" style="321" customWidth="1"/>
    <col min="7432" max="7432" width="14" style="321" customWidth="1"/>
    <col min="7433" max="7433" width="2.140625" style="321" customWidth="1"/>
    <col min="7434" max="7434" width="15.42578125" style="321" customWidth="1"/>
    <col min="7435" max="7680" width="9.140625" style="321"/>
    <col min="7681" max="7681" width="13.85546875" style="321" customWidth="1"/>
    <col min="7682" max="7682" width="2.140625" style="321" customWidth="1"/>
    <col min="7683" max="7683" width="23.5703125" style="321" customWidth="1"/>
    <col min="7684" max="7684" width="26.85546875" style="321" customWidth="1"/>
    <col min="7685" max="7685" width="16.140625" style="321" customWidth="1"/>
    <col min="7686" max="7686" width="15.42578125" style="321" customWidth="1"/>
    <col min="7687" max="7687" width="2.140625" style="321" customWidth="1"/>
    <col min="7688" max="7688" width="14" style="321" customWidth="1"/>
    <col min="7689" max="7689" width="2.140625" style="321" customWidth="1"/>
    <col min="7690" max="7690" width="15.42578125" style="321" customWidth="1"/>
    <col min="7691" max="7936" width="9.140625" style="321"/>
    <col min="7937" max="7937" width="13.85546875" style="321" customWidth="1"/>
    <col min="7938" max="7938" width="2.140625" style="321" customWidth="1"/>
    <col min="7939" max="7939" width="23.5703125" style="321" customWidth="1"/>
    <col min="7940" max="7940" width="26.85546875" style="321" customWidth="1"/>
    <col min="7941" max="7941" width="16.140625" style="321" customWidth="1"/>
    <col min="7942" max="7942" width="15.42578125" style="321" customWidth="1"/>
    <col min="7943" max="7943" width="2.140625" style="321" customWidth="1"/>
    <col min="7944" max="7944" width="14" style="321" customWidth="1"/>
    <col min="7945" max="7945" width="2.140625" style="321" customWidth="1"/>
    <col min="7946" max="7946" width="15.42578125" style="321" customWidth="1"/>
    <col min="7947" max="8192" width="9.140625" style="321"/>
    <col min="8193" max="8193" width="13.85546875" style="321" customWidth="1"/>
    <col min="8194" max="8194" width="2.140625" style="321" customWidth="1"/>
    <col min="8195" max="8195" width="23.5703125" style="321" customWidth="1"/>
    <col min="8196" max="8196" width="26.85546875" style="321" customWidth="1"/>
    <col min="8197" max="8197" width="16.140625" style="321" customWidth="1"/>
    <col min="8198" max="8198" width="15.42578125" style="321" customWidth="1"/>
    <col min="8199" max="8199" width="2.140625" style="321" customWidth="1"/>
    <col min="8200" max="8200" width="14" style="321" customWidth="1"/>
    <col min="8201" max="8201" width="2.140625" style="321" customWidth="1"/>
    <col min="8202" max="8202" width="15.42578125" style="321" customWidth="1"/>
    <col min="8203" max="8448" width="9.140625" style="321"/>
    <col min="8449" max="8449" width="13.85546875" style="321" customWidth="1"/>
    <col min="8450" max="8450" width="2.140625" style="321" customWidth="1"/>
    <col min="8451" max="8451" width="23.5703125" style="321" customWidth="1"/>
    <col min="8452" max="8452" width="26.85546875" style="321" customWidth="1"/>
    <col min="8453" max="8453" width="16.140625" style="321" customWidth="1"/>
    <col min="8454" max="8454" width="15.42578125" style="321" customWidth="1"/>
    <col min="8455" max="8455" width="2.140625" style="321" customWidth="1"/>
    <col min="8456" max="8456" width="14" style="321" customWidth="1"/>
    <col min="8457" max="8457" width="2.140625" style="321" customWidth="1"/>
    <col min="8458" max="8458" width="15.42578125" style="321" customWidth="1"/>
    <col min="8459" max="8704" width="9.140625" style="321"/>
    <col min="8705" max="8705" width="13.85546875" style="321" customWidth="1"/>
    <col min="8706" max="8706" width="2.140625" style="321" customWidth="1"/>
    <col min="8707" max="8707" width="23.5703125" style="321" customWidth="1"/>
    <col min="8708" max="8708" width="26.85546875" style="321" customWidth="1"/>
    <col min="8709" max="8709" width="16.140625" style="321" customWidth="1"/>
    <col min="8710" max="8710" width="15.42578125" style="321" customWidth="1"/>
    <col min="8711" max="8711" width="2.140625" style="321" customWidth="1"/>
    <col min="8712" max="8712" width="14" style="321" customWidth="1"/>
    <col min="8713" max="8713" width="2.140625" style="321" customWidth="1"/>
    <col min="8714" max="8714" width="15.42578125" style="321" customWidth="1"/>
    <col min="8715" max="8960" width="9.140625" style="321"/>
    <col min="8961" max="8961" width="13.85546875" style="321" customWidth="1"/>
    <col min="8962" max="8962" width="2.140625" style="321" customWidth="1"/>
    <col min="8963" max="8963" width="23.5703125" style="321" customWidth="1"/>
    <col min="8964" max="8964" width="26.85546875" style="321" customWidth="1"/>
    <col min="8965" max="8965" width="16.140625" style="321" customWidth="1"/>
    <col min="8966" max="8966" width="15.42578125" style="321" customWidth="1"/>
    <col min="8967" max="8967" width="2.140625" style="321" customWidth="1"/>
    <col min="8968" max="8968" width="14" style="321" customWidth="1"/>
    <col min="8969" max="8969" width="2.140625" style="321" customWidth="1"/>
    <col min="8970" max="8970" width="15.42578125" style="321" customWidth="1"/>
    <col min="8971" max="9216" width="9.140625" style="321"/>
    <col min="9217" max="9217" width="13.85546875" style="321" customWidth="1"/>
    <col min="9218" max="9218" width="2.140625" style="321" customWidth="1"/>
    <col min="9219" max="9219" width="23.5703125" style="321" customWidth="1"/>
    <col min="9220" max="9220" width="26.85546875" style="321" customWidth="1"/>
    <col min="9221" max="9221" width="16.140625" style="321" customWidth="1"/>
    <col min="9222" max="9222" width="15.42578125" style="321" customWidth="1"/>
    <col min="9223" max="9223" width="2.140625" style="321" customWidth="1"/>
    <col min="9224" max="9224" width="14" style="321" customWidth="1"/>
    <col min="9225" max="9225" width="2.140625" style="321" customWidth="1"/>
    <col min="9226" max="9226" width="15.42578125" style="321" customWidth="1"/>
    <col min="9227" max="9472" width="9.140625" style="321"/>
    <col min="9473" max="9473" width="13.85546875" style="321" customWidth="1"/>
    <col min="9474" max="9474" width="2.140625" style="321" customWidth="1"/>
    <col min="9475" max="9475" width="23.5703125" style="321" customWidth="1"/>
    <col min="9476" max="9476" width="26.85546875" style="321" customWidth="1"/>
    <col min="9477" max="9477" width="16.140625" style="321" customWidth="1"/>
    <col min="9478" max="9478" width="15.42578125" style="321" customWidth="1"/>
    <col min="9479" max="9479" width="2.140625" style="321" customWidth="1"/>
    <col min="9480" max="9480" width="14" style="321" customWidth="1"/>
    <col min="9481" max="9481" width="2.140625" style="321" customWidth="1"/>
    <col min="9482" max="9482" width="15.42578125" style="321" customWidth="1"/>
    <col min="9483" max="9728" width="9.140625" style="321"/>
    <col min="9729" max="9729" width="13.85546875" style="321" customWidth="1"/>
    <col min="9730" max="9730" width="2.140625" style="321" customWidth="1"/>
    <col min="9731" max="9731" width="23.5703125" style="321" customWidth="1"/>
    <col min="9732" max="9732" width="26.85546875" style="321" customWidth="1"/>
    <col min="9733" max="9733" width="16.140625" style="321" customWidth="1"/>
    <col min="9734" max="9734" width="15.42578125" style="321" customWidth="1"/>
    <col min="9735" max="9735" width="2.140625" style="321" customWidth="1"/>
    <col min="9736" max="9736" width="14" style="321" customWidth="1"/>
    <col min="9737" max="9737" width="2.140625" style="321" customWidth="1"/>
    <col min="9738" max="9738" width="15.42578125" style="321" customWidth="1"/>
    <col min="9739" max="9984" width="9.140625" style="321"/>
    <col min="9985" max="9985" width="13.85546875" style="321" customWidth="1"/>
    <col min="9986" max="9986" width="2.140625" style="321" customWidth="1"/>
    <col min="9987" max="9987" width="23.5703125" style="321" customWidth="1"/>
    <col min="9988" max="9988" width="26.85546875" style="321" customWidth="1"/>
    <col min="9989" max="9989" width="16.140625" style="321" customWidth="1"/>
    <col min="9990" max="9990" width="15.42578125" style="321" customWidth="1"/>
    <col min="9991" max="9991" width="2.140625" style="321" customWidth="1"/>
    <col min="9992" max="9992" width="14" style="321" customWidth="1"/>
    <col min="9993" max="9993" width="2.140625" style="321" customWidth="1"/>
    <col min="9994" max="9994" width="15.42578125" style="321" customWidth="1"/>
    <col min="9995" max="10240" width="9.140625" style="321"/>
    <col min="10241" max="10241" width="13.85546875" style="321" customWidth="1"/>
    <col min="10242" max="10242" width="2.140625" style="321" customWidth="1"/>
    <col min="10243" max="10243" width="23.5703125" style="321" customWidth="1"/>
    <col min="10244" max="10244" width="26.85546875" style="321" customWidth="1"/>
    <col min="10245" max="10245" width="16.140625" style="321" customWidth="1"/>
    <col min="10246" max="10246" width="15.42578125" style="321" customWidth="1"/>
    <col min="10247" max="10247" width="2.140625" style="321" customWidth="1"/>
    <col min="10248" max="10248" width="14" style="321" customWidth="1"/>
    <col min="10249" max="10249" width="2.140625" style="321" customWidth="1"/>
    <col min="10250" max="10250" width="15.42578125" style="321" customWidth="1"/>
    <col min="10251" max="10496" width="9.140625" style="321"/>
    <col min="10497" max="10497" width="13.85546875" style="321" customWidth="1"/>
    <col min="10498" max="10498" width="2.140625" style="321" customWidth="1"/>
    <col min="10499" max="10499" width="23.5703125" style="321" customWidth="1"/>
    <col min="10500" max="10500" width="26.85546875" style="321" customWidth="1"/>
    <col min="10501" max="10501" width="16.140625" style="321" customWidth="1"/>
    <col min="10502" max="10502" width="15.42578125" style="321" customWidth="1"/>
    <col min="10503" max="10503" width="2.140625" style="321" customWidth="1"/>
    <col min="10504" max="10504" width="14" style="321" customWidth="1"/>
    <col min="10505" max="10505" width="2.140625" style="321" customWidth="1"/>
    <col min="10506" max="10506" width="15.42578125" style="321" customWidth="1"/>
    <col min="10507" max="10752" width="9.140625" style="321"/>
    <col min="10753" max="10753" width="13.85546875" style="321" customWidth="1"/>
    <col min="10754" max="10754" width="2.140625" style="321" customWidth="1"/>
    <col min="10755" max="10755" width="23.5703125" style="321" customWidth="1"/>
    <col min="10756" max="10756" width="26.85546875" style="321" customWidth="1"/>
    <col min="10757" max="10757" width="16.140625" style="321" customWidth="1"/>
    <col min="10758" max="10758" width="15.42578125" style="321" customWidth="1"/>
    <col min="10759" max="10759" width="2.140625" style="321" customWidth="1"/>
    <col min="10760" max="10760" width="14" style="321" customWidth="1"/>
    <col min="10761" max="10761" width="2.140625" style="321" customWidth="1"/>
    <col min="10762" max="10762" width="15.42578125" style="321" customWidth="1"/>
    <col min="10763" max="11008" width="9.140625" style="321"/>
    <col min="11009" max="11009" width="13.85546875" style="321" customWidth="1"/>
    <col min="11010" max="11010" width="2.140625" style="321" customWidth="1"/>
    <col min="11011" max="11011" width="23.5703125" style="321" customWidth="1"/>
    <col min="11012" max="11012" width="26.85546875" style="321" customWidth="1"/>
    <col min="11013" max="11013" width="16.140625" style="321" customWidth="1"/>
    <col min="11014" max="11014" width="15.42578125" style="321" customWidth="1"/>
    <col min="11015" max="11015" width="2.140625" style="321" customWidth="1"/>
    <col min="11016" max="11016" width="14" style="321" customWidth="1"/>
    <col min="11017" max="11017" width="2.140625" style="321" customWidth="1"/>
    <col min="11018" max="11018" width="15.42578125" style="321" customWidth="1"/>
    <col min="11019" max="11264" width="9.140625" style="321"/>
    <col min="11265" max="11265" width="13.85546875" style="321" customWidth="1"/>
    <col min="11266" max="11266" width="2.140625" style="321" customWidth="1"/>
    <col min="11267" max="11267" width="23.5703125" style="321" customWidth="1"/>
    <col min="11268" max="11268" width="26.85546875" style="321" customWidth="1"/>
    <col min="11269" max="11269" width="16.140625" style="321" customWidth="1"/>
    <col min="11270" max="11270" width="15.42578125" style="321" customWidth="1"/>
    <col min="11271" max="11271" width="2.140625" style="321" customWidth="1"/>
    <col min="11272" max="11272" width="14" style="321" customWidth="1"/>
    <col min="11273" max="11273" width="2.140625" style="321" customWidth="1"/>
    <col min="11274" max="11274" width="15.42578125" style="321" customWidth="1"/>
    <col min="11275" max="11520" width="9.140625" style="321"/>
    <col min="11521" max="11521" width="13.85546875" style="321" customWidth="1"/>
    <col min="11522" max="11522" width="2.140625" style="321" customWidth="1"/>
    <col min="11523" max="11523" width="23.5703125" style="321" customWidth="1"/>
    <col min="11524" max="11524" width="26.85546875" style="321" customWidth="1"/>
    <col min="11525" max="11525" width="16.140625" style="321" customWidth="1"/>
    <col min="11526" max="11526" width="15.42578125" style="321" customWidth="1"/>
    <col min="11527" max="11527" width="2.140625" style="321" customWidth="1"/>
    <col min="11528" max="11528" width="14" style="321" customWidth="1"/>
    <col min="11529" max="11529" width="2.140625" style="321" customWidth="1"/>
    <col min="11530" max="11530" width="15.42578125" style="321" customWidth="1"/>
    <col min="11531" max="11776" width="9.140625" style="321"/>
    <col min="11777" max="11777" width="13.85546875" style="321" customWidth="1"/>
    <col min="11778" max="11778" width="2.140625" style="321" customWidth="1"/>
    <col min="11779" max="11779" width="23.5703125" style="321" customWidth="1"/>
    <col min="11780" max="11780" width="26.85546875" style="321" customWidth="1"/>
    <col min="11781" max="11781" width="16.140625" style="321" customWidth="1"/>
    <col min="11782" max="11782" width="15.42578125" style="321" customWidth="1"/>
    <col min="11783" max="11783" width="2.140625" style="321" customWidth="1"/>
    <col min="11784" max="11784" width="14" style="321" customWidth="1"/>
    <col min="11785" max="11785" width="2.140625" style="321" customWidth="1"/>
    <col min="11786" max="11786" width="15.42578125" style="321" customWidth="1"/>
    <col min="11787" max="12032" width="9.140625" style="321"/>
    <col min="12033" max="12033" width="13.85546875" style="321" customWidth="1"/>
    <col min="12034" max="12034" width="2.140625" style="321" customWidth="1"/>
    <col min="12035" max="12035" width="23.5703125" style="321" customWidth="1"/>
    <col min="12036" max="12036" width="26.85546875" style="321" customWidth="1"/>
    <col min="12037" max="12037" width="16.140625" style="321" customWidth="1"/>
    <col min="12038" max="12038" width="15.42578125" style="321" customWidth="1"/>
    <col min="12039" max="12039" width="2.140625" style="321" customWidth="1"/>
    <col min="12040" max="12040" width="14" style="321" customWidth="1"/>
    <col min="12041" max="12041" width="2.140625" style="321" customWidth="1"/>
    <col min="12042" max="12042" width="15.42578125" style="321" customWidth="1"/>
    <col min="12043" max="12288" width="9.140625" style="321"/>
    <col min="12289" max="12289" width="13.85546875" style="321" customWidth="1"/>
    <col min="12290" max="12290" width="2.140625" style="321" customWidth="1"/>
    <col min="12291" max="12291" width="23.5703125" style="321" customWidth="1"/>
    <col min="12292" max="12292" width="26.85546875" style="321" customWidth="1"/>
    <col min="12293" max="12293" width="16.140625" style="321" customWidth="1"/>
    <col min="12294" max="12294" width="15.42578125" style="321" customWidth="1"/>
    <col min="12295" max="12295" width="2.140625" style="321" customWidth="1"/>
    <col min="12296" max="12296" width="14" style="321" customWidth="1"/>
    <col min="12297" max="12297" width="2.140625" style="321" customWidth="1"/>
    <col min="12298" max="12298" width="15.42578125" style="321" customWidth="1"/>
    <col min="12299" max="12544" width="9.140625" style="321"/>
    <col min="12545" max="12545" width="13.85546875" style="321" customWidth="1"/>
    <col min="12546" max="12546" width="2.140625" style="321" customWidth="1"/>
    <col min="12547" max="12547" width="23.5703125" style="321" customWidth="1"/>
    <col min="12548" max="12548" width="26.85546875" style="321" customWidth="1"/>
    <col min="12549" max="12549" width="16.140625" style="321" customWidth="1"/>
    <col min="12550" max="12550" width="15.42578125" style="321" customWidth="1"/>
    <col min="12551" max="12551" width="2.140625" style="321" customWidth="1"/>
    <col min="12552" max="12552" width="14" style="321" customWidth="1"/>
    <col min="12553" max="12553" width="2.140625" style="321" customWidth="1"/>
    <col min="12554" max="12554" width="15.42578125" style="321" customWidth="1"/>
    <col min="12555" max="12800" width="9.140625" style="321"/>
    <col min="12801" max="12801" width="13.85546875" style="321" customWidth="1"/>
    <col min="12802" max="12802" width="2.140625" style="321" customWidth="1"/>
    <col min="12803" max="12803" width="23.5703125" style="321" customWidth="1"/>
    <col min="12804" max="12804" width="26.85546875" style="321" customWidth="1"/>
    <col min="12805" max="12805" width="16.140625" style="321" customWidth="1"/>
    <col min="12806" max="12806" width="15.42578125" style="321" customWidth="1"/>
    <col min="12807" max="12807" width="2.140625" style="321" customWidth="1"/>
    <col min="12808" max="12808" width="14" style="321" customWidth="1"/>
    <col min="12809" max="12809" width="2.140625" style="321" customWidth="1"/>
    <col min="12810" max="12810" width="15.42578125" style="321" customWidth="1"/>
    <col min="12811" max="13056" width="9.140625" style="321"/>
    <col min="13057" max="13057" width="13.85546875" style="321" customWidth="1"/>
    <col min="13058" max="13058" width="2.140625" style="321" customWidth="1"/>
    <col min="13059" max="13059" width="23.5703125" style="321" customWidth="1"/>
    <col min="13060" max="13060" width="26.85546875" style="321" customWidth="1"/>
    <col min="13061" max="13061" width="16.140625" style="321" customWidth="1"/>
    <col min="13062" max="13062" width="15.42578125" style="321" customWidth="1"/>
    <col min="13063" max="13063" width="2.140625" style="321" customWidth="1"/>
    <col min="13064" max="13064" width="14" style="321" customWidth="1"/>
    <col min="13065" max="13065" width="2.140625" style="321" customWidth="1"/>
    <col min="13066" max="13066" width="15.42578125" style="321" customWidth="1"/>
    <col min="13067" max="13312" width="9.140625" style="321"/>
    <col min="13313" max="13313" width="13.85546875" style="321" customWidth="1"/>
    <col min="13314" max="13314" width="2.140625" style="321" customWidth="1"/>
    <col min="13315" max="13315" width="23.5703125" style="321" customWidth="1"/>
    <col min="13316" max="13316" width="26.85546875" style="321" customWidth="1"/>
    <col min="13317" max="13317" width="16.140625" style="321" customWidth="1"/>
    <col min="13318" max="13318" width="15.42578125" style="321" customWidth="1"/>
    <col min="13319" max="13319" width="2.140625" style="321" customWidth="1"/>
    <col min="13320" max="13320" width="14" style="321" customWidth="1"/>
    <col min="13321" max="13321" width="2.140625" style="321" customWidth="1"/>
    <col min="13322" max="13322" width="15.42578125" style="321" customWidth="1"/>
    <col min="13323" max="13568" width="9.140625" style="321"/>
    <col min="13569" max="13569" width="13.85546875" style="321" customWidth="1"/>
    <col min="13570" max="13570" width="2.140625" style="321" customWidth="1"/>
    <col min="13571" max="13571" width="23.5703125" style="321" customWidth="1"/>
    <col min="13572" max="13572" width="26.85546875" style="321" customWidth="1"/>
    <col min="13573" max="13573" width="16.140625" style="321" customWidth="1"/>
    <col min="13574" max="13574" width="15.42578125" style="321" customWidth="1"/>
    <col min="13575" max="13575" width="2.140625" style="321" customWidth="1"/>
    <col min="13576" max="13576" width="14" style="321" customWidth="1"/>
    <col min="13577" max="13577" width="2.140625" style="321" customWidth="1"/>
    <col min="13578" max="13578" width="15.42578125" style="321" customWidth="1"/>
    <col min="13579" max="13824" width="9.140625" style="321"/>
    <col min="13825" max="13825" width="13.85546875" style="321" customWidth="1"/>
    <col min="13826" max="13826" width="2.140625" style="321" customWidth="1"/>
    <col min="13827" max="13827" width="23.5703125" style="321" customWidth="1"/>
    <col min="13828" max="13828" width="26.85546875" style="321" customWidth="1"/>
    <col min="13829" max="13829" width="16.140625" style="321" customWidth="1"/>
    <col min="13830" max="13830" width="15.42578125" style="321" customWidth="1"/>
    <col min="13831" max="13831" width="2.140625" style="321" customWidth="1"/>
    <col min="13832" max="13832" width="14" style="321" customWidth="1"/>
    <col min="13833" max="13833" width="2.140625" style="321" customWidth="1"/>
    <col min="13834" max="13834" width="15.42578125" style="321" customWidth="1"/>
    <col min="13835" max="14080" width="9.140625" style="321"/>
    <col min="14081" max="14081" width="13.85546875" style="321" customWidth="1"/>
    <col min="14082" max="14082" width="2.140625" style="321" customWidth="1"/>
    <col min="14083" max="14083" width="23.5703125" style="321" customWidth="1"/>
    <col min="14084" max="14084" width="26.85546875" style="321" customWidth="1"/>
    <col min="14085" max="14085" width="16.140625" style="321" customWidth="1"/>
    <col min="14086" max="14086" width="15.42578125" style="321" customWidth="1"/>
    <col min="14087" max="14087" width="2.140625" style="321" customWidth="1"/>
    <col min="14088" max="14088" width="14" style="321" customWidth="1"/>
    <col min="14089" max="14089" width="2.140625" style="321" customWidth="1"/>
    <col min="14090" max="14090" width="15.42578125" style="321" customWidth="1"/>
    <col min="14091" max="14336" width="9.140625" style="321"/>
    <col min="14337" max="14337" width="13.85546875" style="321" customWidth="1"/>
    <col min="14338" max="14338" width="2.140625" style="321" customWidth="1"/>
    <col min="14339" max="14339" width="23.5703125" style="321" customWidth="1"/>
    <col min="14340" max="14340" width="26.85546875" style="321" customWidth="1"/>
    <col min="14341" max="14341" width="16.140625" style="321" customWidth="1"/>
    <col min="14342" max="14342" width="15.42578125" style="321" customWidth="1"/>
    <col min="14343" max="14343" width="2.140625" style="321" customWidth="1"/>
    <col min="14344" max="14344" width="14" style="321" customWidth="1"/>
    <col min="14345" max="14345" width="2.140625" style="321" customWidth="1"/>
    <col min="14346" max="14346" width="15.42578125" style="321" customWidth="1"/>
    <col min="14347" max="14592" width="9.140625" style="321"/>
    <col min="14593" max="14593" width="13.85546875" style="321" customWidth="1"/>
    <col min="14594" max="14594" width="2.140625" style="321" customWidth="1"/>
    <col min="14595" max="14595" width="23.5703125" style="321" customWidth="1"/>
    <col min="14596" max="14596" width="26.85546875" style="321" customWidth="1"/>
    <col min="14597" max="14597" width="16.140625" style="321" customWidth="1"/>
    <col min="14598" max="14598" width="15.42578125" style="321" customWidth="1"/>
    <col min="14599" max="14599" width="2.140625" style="321" customWidth="1"/>
    <col min="14600" max="14600" width="14" style="321" customWidth="1"/>
    <col min="14601" max="14601" width="2.140625" style="321" customWidth="1"/>
    <col min="14602" max="14602" width="15.42578125" style="321" customWidth="1"/>
    <col min="14603" max="14848" width="9.140625" style="321"/>
    <col min="14849" max="14849" width="13.85546875" style="321" customWidth="1"/>
    <col min="14850" max="14850" width="2.140625" style="321" customWidth="1"/>
    <col min="14851" max="14851" width="23.5703125" style="321" customWidth="1"/>
    <col min="14852" max="14852" width="26.85546875" style="321" customWidth="1"/>
    <col min="14853" max="14853" width="16.140625" style="321" customWidth="1"/>
    <col min="14854" max="14854" width="15.42578125" style="321" customWidth="1"/>
    <col min="14855" max="14855" width="2.140625" style="321" customWidth="1"/>
    <col min="14856" max="14856" width="14" style="321" customWidth="1"/>
    <col min="14857" max="14857" width="2.140625" style="321" customWidth="1"/>
    <col min="14858" max="14858" width="15.42578125" style="321" customWidth="1"/>
    <col min="14859" max="15104" width="9.140625" style="321"/>
    <col min="15105" max="15105" width="13.85546875" style="321" customWidth="1"/>
    <col min="15106" max="15106" width="2.140625" style="321" customWidth="1"/>
    <col min="15107" max="15107" width="23.5703125" style="321" customWidth="1"/>
    <col min="15108" max="15108" width="26.85546875" style="321" customWidth="1"/>
    <col min="15109" max="15109" width="16.140625" style="321" customWidth="1"/>
    <col min="15110" max="15110" width="15.42578125" style="321" customWidth="1"/>
    <col min="15111" max="15111" width="2.140625" style="321" customWidth="1"/>
    <col min="15112" max="15112" width="14" style="321" customWidth="1"/>
    <col min="15113" max="15113" width="2.140625" style="321" customWidth="1"/>
    <col min="15114" max="15114" width="15.42578125" style="321" customWidth="1"/>
    <col min="15115" max="15360" width="9.140625" style="321"/>
    <col min="15361" max="15361" width="13.85546875" style="321" customWidth="1"/>
    <col min="15362" max="15362" width="2.140625" style="321" customWidth="1"/>
    <col min="15363" max="15363" width="23.5703125" style="321" customWidth="1"/>
    <col min="15364" max="15364" width="26.85546875" style="321" customWidth="1"/>
    <col min="15365" max="15365" width="16.140625" style="321" customWidth="1"/>
    <col min="15366" max="15366" width="15.42578125" style="321" customWidth="1"/>
    <col min="15367" max="15367" width="2.140625" style="321" customWidth="1"/>
    <col min="15368" max="15368" width="14" style="321" customWidth="1"/>
    <col min="15369" max="15369" width="2.140625" style="321" customWidth="1"/>
    <col min="15370" max="15370" width="15.42578125" style="321" customWidth="1"/>
    <col min="15371" max="15616" width="9.140625" style="321"/>
    <col min="15617" max="15617" width="13.85546875" style="321" customWidth="1"/>
    <col min="15618" max="15618" width="2.140625" style="321" customWidth="1"/>
    <col min="15619" max="15619" width="23.5703125" style="321" customWidth="1"/>
    <col min="15620" max="15620" width="26.85546875" style="321" customWidth="1"/>
    <col min="15621" max="15621" width="16.140625" style="321" customWidth="1"/>
    <col min="15622" max="15622" width="15.42578125" style="321" customWidth="1"/>
    <col min="15623" max="15623" width="2.140625" style="321" customWidth="1"/>
    <col min="15624" max="15624" width="14" style="321" customWidth="1"/>
    <col min="15625" max="15625" width="2.140625" style="321" customWidth="1"/>
    <col min="15626" max="15626" width="15.42578125" style="321" customWidth="1"/>
    <col min="15627" max="15872" width="9.140625" style="321"/>
    <col min="15873" max="15873" width="13.85546875" style="321" customWidth="1"/>
    <col min="15874" max="15874" width="2.140625" style="321" customWidth="1"/>
    <col min="15875" max="15875" width="23.5703125" style="321" customWidth="1"/>
    <col min="15876" max="15876" width="26.85546875" style="321" customWidth="1"/>
    <col min="15877" max="15877" width="16.140625" style="321" customWidth="1"/>
    <col min="15878" max="15878" width="15.42578125" style="321" customWidth="1"/>
    <col min="15879" max="15879" width="2.140625" style="321" customWidth="1"/>
    <col min="15880" max="15880" width="14" style="321" customWidth="1"/>
    <col min="15881" max="15881" width="2.140625" style="321" customWidth="1"/>
    <col min="15882" max="15882" width="15.42578125" style="321" customWidth="1"/>
    <col min="15883" max="16128" width="9.140625" style="321"/>
    <col min="16129" max="16129" width="13.85546875" style="321" customWidth="1"/>
    <col min="16130" max="16130" width="2.140625" style="321" customWidth="1"/>
    <col min="16131" max="16131" width="23.5703125" style="321" customWidth="1"/>
    <col min="16132" max="16132" width="26.85546875" style="321" customWidth="1"/>
    <col min="16133" max="16133" width="16.140625" style="321" customWidth="1"/>
    <col min="16134" max="16134" width="15.42578125" style="321" customWidth="1"/>
    <col min="16135" max="16135" width="2.140625" style="321" customWidth="1"/>
    <col min="16136" max="16136" width="14" style="321" customWidth="1"/>
    <col min="16137" max="16137" width="2.140625" style="321" customWidth="1"/>
    <col min="16138" max="16138" width="15.42578125" style="321" customWidth="1"/>
    <col min="16139" max="16384" width="9.140625" style="321"/>
  </cols>
  <sheetData>
    <row r="1" spans="1:11" ht="23.1" customHeight="1" x14ac:dyDescent="0.2">
      <c r="A1" s="320" t="s">
        <v>55</v>
      </c>
      <c r="B1" s="320" t="s">
        <v>56</v>
      </c>
      <c r="E1" s="322" t="s">
        <v>57</v>
      </c>
      <c r="F1" s="322" t="s">
        <v>58</v>
      </c>
      <c r="H1" s="322" t="s">
        <v>59</v>
      </c>
      <c r="J1" s="322" t="s">
        <v>60</v>
      </c>
    </row>
    <row r="2" spans="1:11" ht="15.95" customHeight="1" x14ac:dyDescent="0.2">
      <c r="A2" s="323">
        <v>1</v>
      </c>
      <c r="B2" s="373" t="s">
        <v>62</v>
      </c>
      <c r="C2" s="374"/>
      <c r="D2" s="374"/>
      <c r="E2" s="324">
        <v>320811775.47000003</v>
      </c>
      <c r="F2" s="324">
        <v>35328317.859999999</v>
      </c>
      <c r="H2" s="324">
        <v>40463763.359999999</v>
      </c>
      <c r="J2" s="324">
        <v>315676329.97000003</v>
      </c>
      <c r="K2" s="321">
        <f>J2-E2</f>
        <v>-5135445.5</v>
      </c>
    </row>
    <row r="3" spans="1:11" ht="15.95" customHeight="1" x14ac:dyDescent="0.2">
      <c r="A3" s="323">
        <v>11</v>
      </c>
      <c r="B3" s="373" t="s">
        <v>63</v>
      </c>
      <c r="C3" s="374"/>
      <c r="D3" s="374"/>
      <c r="E3" s="324">
        <v>8512359.4499999993</v>
      </c>
      <c r="F3" s="324">
        <v>34404851.359999999</v>
      </c>
      <c r="H3" s="324">
        <v>35574003.409999996</v>
      </c>
      <c r="J3" s="324">
        <v>7343207.4000000004</v>
      </c>
      <c r="K3" s="321">
        <f t="shared" ref="K3:K66" si="0">J3-E3</f>
        <v>-1169152.0499999989</v>
      </c>
    </row>
    <row r="4" spans="1:11" ht="15.95" customHeight="1" x14ac:dyDescent="0.2">
      <c r="A4" s="325">
        <v>111</v>
      </c>
      <c r="B4" s="375" t="s">
        <v>64</v>
      </c>
      <c r="C4" s="376"/>
      <c r="D4" s="376"/>
      <c r="E4" s="326">
        <v>1974349.18</v>
      </c>
      <c r="F4" s="326">
        <v>18367861</v>
      </c>
      <c r="G4" s="327"/>
      <c r="H4" s="326">
        <v>18189583.800000001</v>
      </c>
      <c r="I4" s="327"/>
      <c r="J4" s="326">
        <v>2152626.38</v>
      </c>
      <c r="K4" s="327">
        <f t="shared" si="0"/>
        <v>178277.19999999995</v>
      </c>
    </row>
    <row r="5" spans="1:11" ht="15.95" customHeight="1" x14ac:dyDescent="0.2">
      <c r="A5" s="323">
        <v>11101</v>
      </c>
      <c r="B5" s="373" t="s">
        <v>65</v>
      </c>
      <c r="C5" s="374"/>
      <c r="D5" s="374"/>
      <c r="E5" s="324">
        <v>3547.91</v>
      </c>
      <c r="F5" s="324">
        <v>96282.32</v>
      </c>
      <c r="H5" s="324">
        <v>99599.18</v>
      </c>
      <c r="J5" s="324">
        <v>231.05</v>
      </c>
      <c r="K5" s="321">
        <f t="shared" si="0"/>
        <v>-3316.8599999999997</v>
      </c>
    </row>
    <row r="6" spans="1:11" ht="15.95" customHeight="1" x14ac:dyDescent="0.2">
      <c r="A6" s="323">
        <v>1110101</v>
      </c>
      <c r="B6" s="373" t="s">
        <v>66</v>
      </c>
      <c r="C6" s="374"/>
      <c r="D6" s="374"/>
      <c r="E6" s="324">
        <v>3547.91</v>
      </c>
      <c r="F6" s="324">
        <v>96282.32</v>
      </c>
      <c r="H6" s="324">
        <v>99599.18</v>
      </c>
      <c r="J6" s="324">
        <v>231.05</v>
      </c>
      <c r="K6" s="321">
        <f t="shared" si="0"/>
        <v>-3316.8599999999997</v>
      </c>
    </row>
    <row r="7" spans="1:11" ht="15.95" customHeight="1" x14ac:dyDescent="0.2">
      <c r="A7" s="323" t="s">
        <v>67</v>
      </c>
      <c r="B7" s="373" t="s">
        <v>68</v>
      </c>
      <c r="C7" s="374"/>
      <c r="D7" s="374"/>
      <c r="E7" s="324">
        <v>3547.91</v>
      </c>
      <c r="F7" s="324">
        <v>96282.32</v>
      </c>
      <c r="H7" s="324">
        <v>99599.18</v>
      </c>
      <c r="J7" s="324">
        <v>231.05</v>
      </c>
      <c r="K7" s="321">
        <f t="shared" si="0"/>
        <v>-3316.8599999999997</v>
      </c>
    </row>
    <row r="8" spans="1:11" ht="15.95" customHeight="1" x14ac:dyDescent="0.2">
      <c r="A8" s="323">
        <v>11102</v>
      </c>
      <c r="B8" s="373" t="s">
        <v>69</v>
      </c>
      <c r="C8" s="374"/>
      <c r="D8" s="374"/>
      <c r="E8" s="324">
        <v>0</v>
      </c>
      <c r="F8" s="324">
        <v>12113.87</v>
      </c>
      <c r="H8" s="324">
        <v>12113.77</v>
      </c>
      <c r="J8" s="324" t="s">
        <v>1878</v>
      </c>
      <c r="K8" s="321">
        <f t="shared" si="0"/>
        <v>0.1</v>
      </c>
    </row>
    <row r="9" spans="1:11" ht="15.95" customHeight="1" x14ac:dyDescent="0.2">
      <c r="A9" s="323">
        <v>1110204</v>
      </c>
      <c r="B9" s="373" t="s">
        <v>70</v>
      </c>
      <c r="C9" s="374"/>
      <c r="D9" s="374"/>
      <c r="E9" s="324">
        <v>0</v>
      </c>
      <c r="F9" s="324">
        <v>12113.87</v>
      </c>
      <c r="H9" s="324">
        <v>12113.77</v>
      </c>
      <c r="J9" s="324" t="s">
        <v>1878</v>
      </c>
      <c r="K9" s="321">
        <f t="shared" si="0"/>
        <v>0.1</v>
      </c>
    </row>
    <row r="10" spans="1:11" ht="15.95" customHeight="1" x14ac:dyDescent="0.2">
      <c r="A10" s="323" t="s">
        <v>1437</v>
      </c>
      <c r="B10" s="373" t="s">
        <v>1438</v>
      </c>
      <c r="C10" s="374"/>
      <c r="D10" s="374"/>
      <c r="E10" s="324">
        <v>0</v>
      </c>
      <c r="F10" s="324">
        <v>6000.72</v>
      </c>
      <c r="H10" s="324">
        <v>6000.62</v>
      </c>
      <c r="J10" s="324" t="s">
        <v>1878</v>
      </c>
      <c r="K10" s="321">
        <f t="shared" si="0"/>
        <v>0.1</v>
      </c>
    </row>
    <row r="11" spans="1:11" ht="15.95" customHeight="1" x14ac:dyDescent="0.2">
      <c r="A11" s="323" t="s">
        <v>1439</v>
      </c>
      <c r="B11" s="373" t="s">
        <v>1440</v>
      </c>
      <c r="C11" s="374"/>
      <c r="D11" s="374"/>
      <c r="E11" s="324">
        <v>0</v>
      </c>
      <c r="F11" s="324">
        <v>4068.32</v>
      </c>
      <c r="H11" s="324">
        <v>4068.32</v>
      </c>
      <c r="J11" s="324">
        <v>0</v>
      </c>
      <c r="K11" s="321">
        <f t="shared" si="0"/>
        <v>0</v>
      </c>
    </row>
    <row r="12" spans="1:11" ht="15.95" customHeight="1" x14ac:dyDescent="0.2">
      <c r="A12" s="323" t="s">
        <v>73</v>
      </c>
      <c r="B12" s="373" t="s">
        <v>74</v>
      </c>
      <c r="C12" s="374"/>
      <c r="D12" s="374"/>
      <c r="E12" s="324">
        <v>0</v>
      </c>
      <c r="F12" s="324">
        <v>2044.83</v>
      </c>
      <c r="H12" s="324">
        <v>2044.83</v>
      </c>
      <c r="J12" s="324">
        <v>0</v>
      </c>
      <c r="K12" s="321">
        <f t="shared" si="0"/>
        <v>0</v>
      </c>
    </row>
    <row r="13" spans="1:11" ht="15.95" customHeight="1" x14ac:dyDescent="0.2">
      <c r="A13" s="323">
        <v>11103</v>
      </c>
      <c r="B13" s="373" t="s">
        <v>77</v>
      </c>
      <c r="C13" s="374"/>
      <c r="D13" s="374"/>
      <c r="E13" s="324">
        <v>942517.31</v>
      </c>
      <c r="F13" s="324">
        <v>16651776.880000001</v>
      </c>
      <c r="H13" s="324">
        <v>16300304.609999999</v>
      </c>
      <c r="J13" s="324">
        <v>1293989.58</v>
      </c>
      <c r="K13" s="321">
        <f t="shared" si="0"/>
        <v>351472.27</v>
      </c>
    </row>
    <row r="14" spans="1:11" ht="15.95" customHeight="1" x14ac:dyDescent="0.2">
      <c r="A14" s="323">
        <v>1110301</v>
      </c>
      <c r="B14" s="373" t="s">
        <v>78</v>
      </c>
      <c r="C14" s="374"/>
      <c r="D14" s="374"/>
      <c r="E14" s="324">
        <v>942517.31</v>
      </c>
      <c r="F14" s="324">
        <v>16651776.880000001</v>
      </c>
      <c r="H14" s="324">
        <v>16300304.609999999</v>
      </c>
      <c r="J14" s="324">
        <v>1293989.58</v>
      </c>
      <c r="K14" s="321">
        <f t="shared" si="0"/>
        <v>351472.27</v>
      </c>
    </row>
    <row r="15" spans="1:11" ht="15.95" customHeight="1" x14ac:dyDescent="0.2">
      <c r="A15" s="323" t="s">
        <v>79</v>
      </c>
      <c r="B15" s="373" t="s">
        <v>80</v>
      </c>
      <c r="C15" s="374"/>
      <c r="D15" s="374"/>
      <c r="E15" s="324">
        <v>942517.31</v>
      </c>
      <c r="F15" s="324">
        <v>16651776.880000001</v>
      </c>
      <c r="H15" s="324">
        <v>16300304.609999999</v>
      </c>
      <c r="J15" s="324">
        <v>1293989.58</v>
      </c>
      <c r="K15" s="321">
        <f t="shared" si="0"/>
        <v>351472.27</v>
      </c>
    </row>
    <row r="16" spans="1:11" ht="15.95" customHeight="1" x14ac:dyDescent="0.2">
      <c r="A16" s="323">
        <v>11104</v>
      </c>
      <c r="B16" s="373" t="s">
        <v>81</v>
      </c>
      <c r="C16" s="374"/>
      <c r="D16" s="374"/>
      <c r="E16" s="324">
        <v>990.68</v>
      </c>
      <c r="F16" s="324">
        <v>188000</v>
      </c>
      <c r="H16" s="324">
        <v>184302.91</v>
      </c>
      <c r="J16" s="324">
        <v>4687.7700000000004</v>
      </c>
      <c r="K16" s="321">
        <f t="shared" si="0"/>
        <v>3697.0900000000006</v>
      </c>
    </row>
    <row r="17" spans="1:11" ht="15.95" customHeight="1" x14ac:dyDescent="0.2">
      <c r="A17" s="323">
        <v>1110401</v>
      </c>
      <c r="B17" s="373" t="s">
        <v>82</v>
      </c>
      <c r="C17" s="374"/>
      <c r="D17" s="374"/>
      <c r="E17" s="324">
        <v>990.68</v>
      </c>
      <c r="F17" s="324">
        <v>188000</v>
      </c>
      <c r="H17" s="324">
        <v>184302.91</v>
      </c>
      <c r="J17" s="324">
        <v>4687.7700000000004</v>
      </c>
      <c r="K17" s="321">
        <f t="shared" si="0"/>
        <v>3697.0900000000006</v>
      </c>
    </row>
    <row r="18" spans="1:11" ht="15.95" customHeight="1" x14ac:dyDescent="0.2">
      <c r="A18" s="323" t="s">
        <v>83</v>
      </c>
      <c r="B18" s="373" t="s">
        <v>84</v>
      </c>
      <c r="C18" s="374"/>
      <c r="D18" s="374"/>
      <c r="E18" s="324">
        <v>990.68</v>
      </c>
      <c r="F18" s="324">
        <v>188000</v>
      </c>
      <c r="H18" s="324">
        <v>184302.91</v>
      </c>
      <c r="J18" s="324">
        <v>4687.7700000000004</v>
      </c>
      <c r="K18" s="321">
        <f t="shared" si="0"/>
        <v>3697.0900000000006</v>
      </c>
    </row>
    <row r="19" spans="1:11" ht="15.95" customHeight="1" x14ac:dyDescent="0.2">
      <c r="A19" s="323">
        <v>11105</v>
      </c>
      <c r="B19" s="373" t="s">
        <v>85</v>
      </c>
      <c r="C19" s="374"/>
      <c r="D19" s="374"/>
      <c r="E19" s="324">
        <v>750.43</v>
      </c>
      <c r="F19" s="324">
        <v>11.3</v>
      </c>
      <c r="H19" s="324" t="s">
        <v>2095</v>
      </c>
      <c r="J19" s="324">
        <v>760.74</v>
      </c>
      <c r="K19" s="321">
        <f t="shared" si="0"/>
        <v>10.310000000000059</v>
      </c>
    </row>
    <row r="20" spans="1:11" ht="15.95" customHeight="1" x14ac:dyDescent="0.2">
      <c r="A20" s="323">
        <v>1110501</v>
      </c>
      <c r="B20" s="373" t="s">
        <v>78</v>
      </c>
      <c r="C20" s="374"/>
      <c r="D20" s="374"/>
      <c r="E20" s="324">
        <v>750.43</v>
      </c>
      <c r="F20" s="324">
        <v>11.3</v>
      </c>
      <c r="H20" s="324" t="s">
        <v>2095</v>
      </c>
      <c r="J20" s="324">
        <v>760.74</v>
      </c>
      <c r="K20" s="321">
        <f t="shared" si="0"/>
        <v>10.310000000000059</v>
      </c>
    </row>
    <row r="21" spans="1:11" ht="15.95" customHeight="1" x14ac:dyDescent="0.2">
      <c r="A21" s="323" t="s">
        <v>86</v>
      </c>
      <c r="B21" s="373" t="s">
        <v>87</v>
      </c>
      <c r="C21" s="374"/>
      <c r="D21" s="374"/>
      <c r="E21" s="324">
        <v>293.39999999999998</v>
      </c>
      <c r="F21" s="324">
        <v>4.4000000000000004</v>
      </c>
      <c r="H21" s="324" t="s">
        <v>2095</v>
      </c>
      <c r="J21" s="324">
        <v>296.81</v>
      </c>
      <c r="K21" s="321">
        <f t="shared" si="0"/>
        <v>3.410000000000025</v>
      </c>
    </row>
    <row r="22" spans="1:11" ht="15.95" customHeight="1" x14ac:dyDescent="0.2">
      <c r="A22" s="323" t="s">
        <v>88</v>
      </c>
      <c r="B22" s="373" t="s">
        <v>89</v>
      </c>
      <c r="C22" s="374"/>
      <c r="D22" s="374"/>
      <c r="E22" s="324">
        <v>457.03</v>
      </c>
      <c r="F22" s="324">
        <v>6.9</v>
      </c>
      <c r="H22" s="324">
        <v>0</v>
      </c>
      <c r="J22" s="324">
        <v>463.93</v>
      </c>
      <c r="K22" s="321">
        <f t="shared" si="0"/>
        <v>6.9000000000000341</v>
      </c>
    </row>
    <row r="23" spans="1:11" ht="15.95" customHeight="1" x14ac:dyDescent="0.2">
      <c r="A23" s="323">
        <v>11106</v>
      </c>
      <c r="B23" s="373" t="s">
        <v>90</v>
      </c>
      <c r="C23" s="374"/>
      <c r="D23" s="374"/>
      <c r="E23" s="324">
        <v>1026542.85</v>
      </c>
      <c r="F23" s="324">
        <v>1419676.63</v>
      </c>
      <c r="H23" s="324">
        <v>1593262.34</v>
      </c>
      <c r="J23" s="324">
        <v>852957.14</v>
      </c>
      <c r="K23" s="321">
        <f t="shared" si="0"/>
        <v>-173585.70999999996</v>
      </c>
    </row>
    <row r="24" spans="1:11" ht="15.95" customHeight="1" x14ac:dyDescent="0.2">
      <c r="A24" s="323">
        <v>1110601</v>
      </c>
      <c r="B24" s="373" t="s">
        <v>78</v>
      </c>
      <c r="C24" s="374"/>
      <c r="D24" s="374"/>
      <c r="E24" s="324">
        <v>1026542.85</v>
      </c>
      <c r="F24" s="324">
        <v>1419676.63</v>
      </c>
      <c r="H24" s="324">
        <v>1593262.34</v>
      </c>
      <c r="J24" s="324">
        <v>852957.14</v>
      </c>
      <c r="K24" s="321">
        <f t="shared" si="0"/>
        <v>-173585.70999999996</v>
      </c>
    </row>
    <row r="25" spans="1:11" ht="15.95" customHeight="1" x14ac:dyDescent="0.2">
      <c r="A25" s="323" t="s">
        <v>91</v>
      </c>
      <c r="B25" s="373" t="s">
        <v>92</v>
      </c>
      <c r="C25" s="374"/>
      <c r="D25" s="374"/>
      <c r="E25" s="324">
        <v>13437.52</v>
      </c>
      <c r="F25" s="324">
        <v>1402274.64</v>
      </c>
      <c r="H25" s="324">
        <v>1404709.51</v>
      </c>
      <c r="J25" s="324">
        <v>11002.65</v>
      </c>
      <c r="K25" s="321">
        <f t="shared" si="0"/>
        <v>-2434.8700000000008</v>
      </c>
    </row>
    <row r="26" spans="1:11" ht="15.95" customHeight="1" x14ac:dyDescent="0.2">
      <c r="A26" s="323" t="s">
        <v>93</v>
      </c>
      <c r="B26" s="373" t="s">
        <v>94</v>
      </c>
      <c r="C26" s="374"/>
      <c r="D26" s="374"/>
      <c r="E26" s="324">
        <v>1013105.33</v>
      </c>
      <c r="F26" s="324">
        <v>17401.990000000002</v>
      </c>
      <c r="H26" s="324">
        <v>188552.83</v>
      </c>
      <c r="J26" s="324">
        <v>841954.49</v>
      </c>
      <c r="K26" s="321">
        <f t="shared" si="0"/>
        <v>-171150.83999999997</v>
      </c>
    </row>
    <row r="27" spans="1:11" ht="15.95" customHeight="1" x14ac:dyDescent="0.2">
      <c r="A27" s="323">
        <v>112</v>
      </c>
      <c r="B27" s="373" t="s">
        <v>95</v>
      </c>
      <c r="C27" s="374"/>
      <c r="D27" s="374"/>
      <c r="E27" s="324">
        <v>4616194.3499999996</v>
      </c>
      <c r="F27" s="324">
        <v>15589280.58</v>
      </c>
      <c r="H27" s="324">
        <v>16189429.960000001</v>
      </c>
      <c r="J27" s="324">
        <v>4016044.97</v>
      </c>
      <c r="K27" s="321">
        <f t="shared" si="0"/>
        <v>-600149.37999999942</v>
      </c>
    </row>
    <row r="28" spans="1:11" ht="15.95" customHeight="1" x14ac:dyDescent="0.2">
      <c r="A28" s="325">
        <v>11201</v>
      </c>
      <c r="B28" s="375" t="s">
        <v>96</v>
      </c>
      <c r="C28" s="376"/>
      <c r="D28" s="376"/>
      <c r="E28" s="326">
        <v>3913636.39</v>
      </c>
      <c r="F28" s="326">
        <v>14785220.880000001</v>
      </c>
      <c r="G28" s="327"/>
      <c r="H28" s="326">
        <v>15143680.390000001</v>
      </c>
      <c r="I28" s="327"/>
      <c r="J28" s="326">
        <v>3555176.88</v>
      </c>
      <c r="K28" s="327">
        <f t="shared" si="0"/>
        <v>-358459.51000000024</v>
      </c>
    </row>
    <row r="29" spans="1:11" ht="15.95" customHeight="1" x14ac:dyDescent="0.2">
      <c r="A29" s="328">
        <v>1120101</v>
      </c>
      <c r="B29" s="377" t="s">
        <v>97</v>
      </c>
      <c r="C29" s="378"/>
      <c r="D29" s="378"/>
      <c r="E29" s="329">
        <v>3854242.51</v>
      </c>
      <c r="F29" s="329">
        <v>14530266.98</v>
      </c>
      <c r="G29" s="330"/>
      <c r="H29" s="329">
        <v>15065125.130000001</v>
      </c>
      <c r="I29" s="330"/>
      <c r="J29" s="329">
        <v>3319384.36</v>
      </c>
      <c r="K29" s="330">
        <f t="shared" si="0"/>
        <v>-534858.14999999991</v>
      </c>
    </row>
    <row r="30" spans="1:11" ht="15.95" customHeight="1" x14ac:dyDescent="0.2">
      <c r="A30" s="323" t="s">
        <v>98</v>
      </c>
      <c r="B30" s="373" t="s">
        <v>99</v>
      </c>
      <c r="C30" s="374"/>
      <c r="D30" s="374"/>
      <c r="E30" s="324">
        <v>3854242.51</v>
      </c>
      <c r="F30" s="324">
        <v>14530266.98</v>
      </c>
      <c r="H30" s="324">
        <v>15065125.130000001</v>
      </c>
      <c r="J30" s="324">
        <v>3319384.36</v>
      </c>
      <c r="K30" s="321">
        <f t="shared" si="0"/>
        <v>-534858.14999999991</v>
      </c>
    </row>
    <row r="31" spans="1:11" ht="15.95" customHeight="1" x14ac:dyDescent="0.2">
      <c r="A31" s="323">
        <v>1120102</v>
      </c>
      <c r="B31" s="373" t="s">
        <v>100</v>
      </c>
      <c r="C31" s="374"/>
      <c r="D31" s="374"/>
      <c r="E31" s="324">
        <v>59393.88</v>
      </c>
      <c r="F31" s="324">
        <v>254953.9</v>
      </c>
      <c r="H31" s="324">
        <v>78555.259999999995</v>
      </c>
      <c r="J31" s="324">
        <v>235792.52</v>
      </c>
      <c r="K31" s="321">
        <f t="shared" si="0"/>
        <v>176398.63999999998</v>
      </c>
    </row>
    <row r="32" spans="1:11" ht="15.95" customHeight="1" x14ac:dyDescent="0.2">
      <c r="A32" s="323" t="s">
        <v>101</v>
      </c>
      <c r="B32" s="373" t="s">
        <v>102</v>
      </c>
      <c r="C32" s="374"/>
      <c r="D32" s="374"/>
      <c r="E32" s="324">
        <v>44032.56</v>
      </c>
      <c r="F32" s="324">
        <v>0</v>
      </c>
      <c r="H32" s="324">
        <v>0</v>
      </c>
      <c r="J32" s="324">
        <v>44032.56</v>
      </c>
      <c r="K32" s="321">
        <f t="shared" si="0"/>
        <v>0</v>
      </c>
    </row>
    <row r="33" spans="1:11" ht="15.95" customHeight="1" x14ac:dyDescent="0.2">
      <c r="A33" s="323" t="s">
        <v>103</v>
      </c>
      <c r="B33" s="373" t="s">
        <v>104</v>
      </c>
      <c r="C33" s="374"/>
      <c r="D33" s="374"/>
      <c r="E33" s="324">
        <v>4672.18</v>
      </c>
      <c r="F33" s="324">
        <v>0</v>
      </c>
      <c r="H33" s="324">
        <v>0</v>
      </c>
      <c r="J33" s="324">
        <v>4672.18</v>
      </c>
      <c r="K33" s="321">
        <f t="shared" si="0"/>
        <v>0</v>
      </c>
    </row>
    <row r="34" spans="1:11" ht="15.95" customHeight="1" x14ac:dyDescent="0.2">
      <c r="A34" s="323" t="s">
        <v>105</v>
      </c>
      <c r="B34" s="373" t="s">
        <v>106</v>
      </c>
      <c r="C34" s="374"/>
      <c r="D34" s="374"/>
      <c r="E34" s="324">
        <v>10689.14</v>
      </c>
      <c r="F34" s="324">
        <v>0</v>
      </c>
      <c r="H34" s="324">
        <v>2915.22</v>
      </c>
      <c r="J34" s="324">
        <v>7773.92</v>
      </c>
      <c r="K34" s="321">
        <f t="shared" si="0"/>
        <v>-2915.2199999999993</v>
      </c>
    </row>
    <row r="35" spans="1:11" ht="15.95" customHeight="1" x14ac:dyDescent="0.2">
      <c r="A35" s="323" t="s">
        <v>1803</v>
      </c>
      <c r="B35" s="373" t="s">
        <v>1804</v>
      </c>
      <c r="C35" s="374"/>
      <c r="D35" s="374"/>
      <c r="E35" s="324">
        <v>0</v>
      </c>
      <c r="F35" s="324">
        <v>64618.51</v>
      </c>
      <c r="H35" s="324">
        <v>32309.279999999999</v>
      </c>
      <c r="J35" s="324">
        <v>32309.23</v>
      </c>
      <c r="K35" s="321">
        <f t="shared" si="0"/>
        <v>32309.23</v>
      </c>
    </row>
    <row r="36" spans="1:11" ht="15.95" customHeight="1" x14ac:dyDescent="0.2">
      <c r="A36" s="323" t="s">
        <v>107</v>
      </c>
      <c r="B36" s="373" t="s">
        <v>108</v>
      </c>
      <c r="C36" s="374"/>
      <c r="D36" s="374"/>
      <c r="E36" s="324">
        <v>0</v>
      </c>
      <c r="F36" s="324">
        <v>66486.48</v>
      </c>
      <c r="H36" s="324">
        <v>22162.16</v>
      </c>
      <c r="J36" s="324">
        <v>44324.32</v>
      </c>
      <c r="K36" s="321">
        <f t="shared" si="0"/>
        <v>44324.32</v>
      </c>
    </row>
    <row r="37" spans="1:11" ht="15.95" customHeight="1" x14ac:dyDescent="0.2">
      <c r="A37" s="323" t="s">
        <v>109</v>
      </c>
      <c r="B37" s="373" t="s">
        <v>110</v>
      </c>
      <c r="C37" s="374"/>
      <c r="D37" s="374"/>
      <c r="E37" s="324">
        <v>0</v>
      </c>
      <c r="F37" s="324">
        <v>87836.91</v>
      </c>
      <c r="H37" s="324">
        <v>17567.400000000001</v>
      </c>
      <c r="J37" s="324">
        <v>70269.509999999995</v>
      </c>
      <c r="K37" s="321">
        <f t="shared" si="0"/>
        <v>70269.509999999995</v>
      </c>
    </row>
    <row r="38" spans="1:11" ht="15.95" customHeight="1" x14ac:dyDescent="0.2">
      <c r="A38" s="323" t="s">
        <v>111</v>
      </c>
      <c r="B38" s="373" t="s">
        <v>2096</v>
      </c>
      <c r="C38" s="374"/>
      <c r="D38" s="374"/>
      <c r="E38" s="324">
        <v>0</v>
      </c>
      <c r="F38" s="324">
        <v>36012</v>
      </c>
      <c r="H38" s="324">
        <v>3601.2</v>
      </c>
      <c r="J38" s="324">
        <v>32410.799999999999</v>
      </c>
      <c r="K38" s="321">
        <f t="shared" si="0"/>
        <v>32410.799999999999</v>
      </c>
    </row>
    <row r="39" spans="1:11" ht="15.95" customHeight="1" x14ac:dyDescent="0.2">
      <c r="A39" s="325">
        <v>11202</v>
      </c>
      <c r="B39" s="375" t="s">
        <v>115</v>
      </c>
      <c r="C39" s="376"/>
      <c r="D39" s="376"/>
      <c r="E39" s="326">
        <v>-338591.35</v>
      </c>
      <c r="F39" s="326">
        <v>3550.24</v>
      </c>
      <c r="G39" s="327"/>
      <c r="H39" s="326">
        <v>44105.26</v>
      </c>
      <c r="I39" s="327"/>
      <c r="J39" s="326">
        <v>-379146.37</v>
      </c>
      <c r="K39" s="327">
        <f t="shared" si="0"/>
        <v>-40555.020000000019</v>
      </c>
    </row>
    <row r="40" spans="1:11" ht="15.95" customHeight="1" x14ac:dyDescent="0.2">
      <c r="A40" s="323">
        <v>1120201</v>
      </c>
      <c r="B40" s="373" t="s">
        <v>116</v>
      </c>
      <c r="C40" s="374"/>
      <c r="D40" s="374"/>
      <c r="E40" s="324">
        <v>-338591.35</v>
      </c>
      <c r="F40" s="324">
        <v>3550.24</v>
      </c>
      <c r="H40" s="324">
        <v>44105.26</v>
      </c>
      <c r="J40" s="324">
        <v>-379146.37</v>
      </c>
      <c r="K40" s="321">
        <f t="shared" si="0"/>
        <v>-40555.020000000019</v>
      </c>
    </row>
    <row r="41" spans="1:11" ht="15.95" customHeight="1" x14ac:dyDescent="0.2">
      <c r="A41" s="323" t="s">
        <v>117</v>
      </c>
      <c r="B41" s="373" t="s">
        <v>118</v>
      </c>
      <c r="C41" s="374"/>
      <c r="D41" s="374"/>
      <c r="E41" s="324">
        <v>-338591.35</v>
      </c>
      <c r="F41" s="324">
        <v>3550.24</v>
      </c>
      <c r="H41" s="324">
        <v>44105.26</v>
      </c>
      <c r="J41" s="324">
        <v>-379146.37</v>
      </c>
      <c r="K41" s="321">
        <f t="shared" si="0"/>
        <v>-40555.020000000019</v>
      </c>
    </row>
    <row r="42" spans="1:11" ht="15.95" customHeight="1" x14ac:dyDescent="0.2">
      <c r="A42" s="325">
        <v>11204</v>
      </c>
      <c r="B42" s="375" t="s">
        <v>119</v>
      </c>
      <c r="C42" s="376"/>
      <c r="D42" s="376"/>
      <c r="E42" s="326">
        <v>53231.9</v>
      </c>
      <c r="F42" s="326">
        <v>103632.84</v>
      </c>
      <c r="G42" s="327"/>
      <c r="H42" s="326">
        <v>77397.22</v>
      </c>
      <c r="I42" s="327"/>
      <c r="J42" s="326">
        <v>79467.520000000004</v>
      </c>
      <c r="K42" s="327">
        <f t="shared" si="0"/>
        <v>26235.620000000003</v>
      </c>
    </row>
    <row r="43" spans="1:11" ht="15.95" customHeight="1" x14ac:dyDescent="0.2">
      <c r="A43" s="323">
        <v>1120401</v>
      </c>
      <c r="B43" s="373" t="s">
        <v>120</v>
      </c>
      <c r="C43" s="374"/>
      <c r="D43" s="374"/>
      <c r="E43" s="324">
        <v>12808</v>
      </c>
      <c r="F43" s="324">
        <v>41087.15</v>
      </c>
      <c r="H43" s="324">
        <v>16761.37</v>
      </c>
      <c r="J43" s="324">
        <v>37133.78</v>
      </c>
      <c r="K43" s="321">
        <f t="shared" si="0"/>
        <v>24325.78</v>
      </c>
    </row>
    <row r="44" spans="1:11" ht="15.95" customHeight="1" x14ac:dyDescent="0.2">
      <c r="A44" s="323" t="s">
        <v>121</v>
      </c>
      <c r="B44" s="373" t="s">
        <v>122</v>
      </c>
      <c r="C44" s="374"/>
      <c r="D44" s="374"/>
      <c r="E44" s="324">
        <v>12808</v>
      </c>
      <c r="F44" s="324">
        <v>41087.15</v>
      </c>
      <c r="H44" s="324">
        <v>16761.37</v>
      </c>
      <c r="J44" s="324">
        <v>37133.78</v>
      </c>
      <c r="K44" s="321">
        <f t="shared" si="0"/>
        <v>24325.78</v>
      </c>
    </row>
    <row r="45" spans="1:11" ht="15.95" customHeight="1" x14ac:dyDescent="0.2">
      <c r="A45" s="323">
        <v>1120407</v>
      </c>
      <c r="B45" s="373" t="s">
        <v>123</v>
      </c>
      <c r="C45" s="374"/>
      <c r="D45" s="374"/>
      <c r="E45" s="324">
        <v>40423.9</v>
      </c>
      <c r="F45" s="324">
        <v>62545.69</v>
      </c>
      <c r="H45" s="324">
        <v>60635.85</v>
      </c>
      <c r="J45" s="324">
        <v>42333.74</v>
      </c>
      <c r="K45" s="321">
        <f t="shared" si="0"/>
        <v>1909.8399999999965</v>
      </c>
    </row>
    <row r="46" spans="1:11" ht="15.95" customHeight="1" x14ac:dyDescent="0.2">
      <c r="A46" s="323" t="s">
        <v>124</v>
      </c>
      <c r="B46" s="373" t="s">
        <v>125</v>
      </c>
      <c r="C46" s="374"/>
      <c r="D46" s="374"/>
      <c r="E46" s="324">
        <v>40423.9</v>
      </c>
      <c r="F46" s="324">
        <v>62545.69</v>
      </c>
      <c r="H46" s="324">
        <v>60635.85</v>
      </c>
      <c r="J46" s="324">
        <v>42333.74</v>
      </c>
      <c r="K46" s="321">
        <f t="shared" si="0"/>
        <v>1909.8399999999965</v>
      </c>
    </row>
    <row r="47" spans="1:11" ht="15.95" customHeight="1" x14ac:dyDescent="0.2">
      <c r="A47" s="323">
        <v>11205</v>
      </c>
      <c r="B47" s="373" t="s">
        <v>126</v>
      </c>
      <c r="C47" s="374"/>
      <c r="D47" s="374"/>
      <c r="E47" s="324">
        <v>987917.41</v>
      </c>
      <c r="F47" s="324">
        <v>696876.62</v>
      </c>
      <c r="H47" s="324">
        <v>924247.09</v>
      </c>
      <c r="J47" s="324">
        <v>760546.94</v>
      </c>
      <c r="K47" s="321">
        <f t="shared" si="0"/>
        <v>-227370.47000000009</v>
      </c>
    </row>
    <row r="48" spans="1:11" ht="15.95" customHeight="1" x14ac:dyDescent="0.2">
      <c r="A48" s="325">
        <v>1120501</v>
      </c>
      <c r="B48" s="375" t="s">
        <v>127</v>
      </c>
      <c r="C48" s="376"/>
      <c r="D48" s="376"/>
      <c r="E48" s="326">
        <v>315740.49</v>
      </c>
      <c r="F48" s="326">
        <v>314598.31</v>
      </c>
      <c r="G48" s="327"/>
      <c r="H48" s="326">
        <v>548862.73</v>
      </c>
      <c r="I48" s="327"/>
      <c r="J48" s="326">
        <v>81476.070000000007</v>
      </c>
      <c r="K48" s="327">
        <f t="shared" si="0"/>
        <v>-234264.41999999998</v>
      </c>
    </row>
    <row r="49" spans="1:11" ht="15.95" customHeight="1" x14ac:dyDescent="0.2">
      <c r="A49" s="323" t="s">
        <v>128</v>
      </c>
      <c r="B49" s="373" t="s">
        <v>129</v>
      </c>
      <c r="C49" s="374"/>
      <c r="D49" s="374"/>
      <c r="E49" s="324">
        <v>290719.68</v>
      </c>
      <c r="F49" s="324">
        <v>314598.31</v>
      </c>
      <c r="H49" s="324">
        <v>523841.92</v>
      </c>
      <c r="J49" s="324">
        <v>81476.070000000007</v>
      </c>
      <c r="K49" s="321">
        <f t="shared" si="0"/>
        <v>-209243.61</v>
      </c>
    </row>
    <row r="50" spans="1:11" ht="15.95" customHeight="1" x14ac:dyDescent="0.2">
      <c r="A50" s="323" t="s">
        <v>130</v>
      </c>
      <c r="B50" s="373" t="s">
        <v>131</v>
      </c>
      <c r="C50" s="374"/>
      <c r="D50" s="374"/>
      <c r="E50" s="324">
        <v>25020.81</v>
      </c>
      <c r="F50" s="324">
        <v>0</v>
      </c>
      <c r="H50" s="324">
        <v>25020.81</v>
      </c>
      <c r="J50" s="324">
        <v>0</v>
      </c>
      <c r="K50" s="321">
        <f t="shared" si="0"/>
        <v>-25020.81</v>
      </c>
    </row>
    <row r="51" spans="1:11" ht="15.95" customHeight="1" x14ac:dyDescent="0.2">
      <c r="A51" s="325">
        <v>1120502</v>
      </c>
      <c r="B51" s="375" t="s">
        <v>132</v>
      </c>
      <c r="C51" s="376"/>
      <c r="D51" s="376"/>
      <c r="E51" s="326">
        <v>630736.92000000004</v>
      </c>
      <c r="F51" s="326">
        <v>382278.31</v>
      </c>
      <c r="G51" s="327"/>
      <c r="H51" s="326">
        <v>375384.36</v>
      </c>
      <c r="I51" s="327"/>
      <c r="J51" s="326">
        <v>637630.87</v>
      </c>
      <c r="K51" s="327">
        <f t="shared" si="0"/>
        <v>6893.9499999999534</v>
      </c>
    </row>
    <row r="52" spans="1:11" ht="15.95" customHeight="1" x14ac:dyDescent="0.2">
      <c r="A52" s="323" t="s">
        <v>133</v>
      </c>
      <c r="B52" s="373" t="s">
        <v>134</v>
      </c>
      <c r="C52" s="374"/>
      <c r="D52" s="374"/>
      <c r="E52" s="324">
        <v>1218.1400000000001</v>
      </c>
      <c r="F52" s="324">
        <v>60162.99</v>
      </c>
      <c r="H52" s="324">
        <v>60162.99</v>
      </c>
      <c r="J52" s="324">
        <v>1218.1400000000001</v>
      </c>
      <c r="K52" s="321">
        <f t="shared" si="0"/>
        <v>0</v>
      </c>
    </row>
    <row r="53" spans="1:11" ht="15.95" customHeight="1" x14ac:dyDescent="0.2">
      <c r="A53" s="323" t="s">
        <v>135</v>
      </c>
      <c r="B53" s="373" t="s">
        <v>136</v>
      </c>
      <c r="C53" s="374"/>
      <c r="D53" s="374"/>
      <c r="E53" s="324">
        <v>189691.28</v>
      </c>
      <c r="F53" s="324">
        <v>62901.63</v>
      </c>
      <c r="H53" s="324">
        <v>118279.14</v>
      </c>
      <c r="J53" s="324">
        <v>134313.76999999999</v>
      </c>
      <c r="K53" s="321">
        <f t="shared" si="0"/>
        <v>-55377.510000000009</v>
      </c>
    </row>
    <row r="54" spans="1:11" ht="15.95" customHeight="1" x14ac:dyDescent="0.2">
      <c r="A54" s="323" t="s">
        <v>137</v>
      </c>
      <c r="B54" s="373" t="s">
        <v>138</v>
      </c>
      <c r="C54" s="374"/>
      <c r="D54" s="374"/>
      <c r="E54" s="324">
        <v>28257.279999999999</v>
      </c>
      <c r="F54" s="324">
        <v>78486.649999999994</v>
      </c>
      <c r="H54" s="324">
        <v>94793.73</v>
      </c>
      <c r="J54" s="324">
        <v>11950.2</v>
      </c>
      <c r="K54" s="321">
        <f t="shared" si="0"/>
        <v>-16307.079999999998</v>
      </c>
    </row>
    <row r="55" spans="1:11" ht="27.95" customHeight="1" x14ac:dyDescent="0.2">
      <c r="A55" s="323" t="s">
        <v>139</v>
      </c>
      <c r="B55" s="373" t="s">
        <v>140</v>
      </c>
      <c r="C55" s="374"/>
      <c r="D55" s="374"/>
      <c r="E55" s="324">
        <v>393684.18</v>
      </c>
      <c r="F55" s="324">
        <v>157847.79999999999</v>
      </c>
      <c r="H55" s="324">
        <v>78188.649999999994</v>
      </c>
      <c r="J55" s="324">
        <v>473343.33</v>
      </c>
      <c r="K55" s="321">
        <f t="shared" si="0"/>
        <v>79659.150000000023</v>
      </c>
    </row>
    <row r="56" spans="1:11" ht="15.95" customHeight="1" x14ac:dyDescent="0.2">
      <c r="A56" s="323" t="s">
        <v>141</v>
      </c>
      <c r="B56" s="373" t="s">
        <v>142</v>
      </c>
      <c r="C56" s="374"/>
      <c r="D56" s="374"/>
      <c r="E56" s="324">
        <v>17886.04</v>
      </c>
      <c r="F56" s="324">
        <v>22879.24</v>
      </c>
      <c r="H56" s="324">
        <v>23959.85</v>
      </c>
      <c r="J56" s="324">
        <v>16805.43</v>
      </c>
      <c r="K56" s="321">
        <f t="shared" si="0"/>
        <v>-1080.6100000000006</v>
      </c>
    </row>
    <row r="57" spans="1:11" ht="15.95" customHeight="1" x14ac:dyDescent="0.2">
      <c r="A57" s="325">
        <v>1120503</v>
      </c>
      <c r="B57" s="375" t="s">
        <v>143</v>
      </c>
      <c r="C57" s="376"/>
      <c r="D57" s="376"/>
      <c r="E57" s="326">
        <v>41440</v>
      </c>
      <c r="F57" s="326">
        <v>0</v>
      </c>
      <c r="G57" s="327"/>
      <c r="H57" s="326">
        <v>0</v>
      </c>
      <c r="I57" s="327"/>
      <c r="J57" s="326">
        <v>41440</v>
      </c>
      <c r="K57" s="327">
        <f t="shared" si="0"/>
        <v>0</v>
      </c>
    </row>
    <row r="58" spans="1:11" ht="15.95" customHeight="1" x14ac:dyDescent="0.2">
      <c r="A58" s="323" t="s">
        <v>144</v>
      </c>
      <c r="B58" s="373" t="s">
        <v>145</v>
      </c>
      <c r="C58" s="374"/>
      <c r="D58" s="374"/>
      <c r="E58" s="324">
        <v>41440</v>
      </c>
      <c r="F58" s="324">
        <v>0</v>
      </c>
      <c r="H58" s="324">
        <v>0</v>
      </c>
      <c r="J58" s="324">
        <v>41440</v>
      </c>
      <c r="K58" s="321">
        <f t="shared" si="0"/>
        <v>0</v>
      </c>
    </row>
    <row r="59" spans="1:11" ht="15.95" customHeight="1" x14ac:dyDescent="0.2">
      <c r="A59" s="325">
        <v>113</v>
      </c>
      <c r="B59" s="375" t="s">
        <v>146</v>
      </c>
      <c r="C59" s="376"/>
      <c r="D59" s="376"/>
      <c r="E59" s="326">
        <v>1763359.17</v>
      </c>
      <c r="F59" s="326">
        <v>389507.45</v>
      </c>
      <c r="G59" s="327"/>
      <c r="H59" s="326">
        <v>1101199.08</v>
      </c>
      <c r="I59" s="327"/>
      <c r="J59" s="326">
        <v>1051667.54</v>
      </c>
      <c r="K59" s="327">
        <f t="shared" si="0"/>
        <v>-711691.62999999989</v>
      </c>
    </row>
    <row r="60" spans="1:11" ht="15.95" customHeight="1" x14ac:dyDescent="0.2">
      <c r="A60" s="323">
        <v>11301</v>
      </c>
      <c r="B60" s="373" t="s">
        <v>146</v>
      </c>
      <c r="C60" s="374"/>
      <c r="D60" s="374"/>
      <c r="E60" s="324">
        <v>1763359.17</v>
      </c>
      <c r="F60" s="324">
        <v>389507.45</v>
      </c>
      <c r="H60" s="324">
        <v>1101199.08</v>
      </c>
      <c r="J60" s="324">
        <v>1051667.54</v>
      </c>
      <c r="K60" s="321">
        <f t="shared" si="0"/>
        <v>-711691.62999999989</v>
      </c>
    </row>
    <row r="61" spans="1:11" ht="15.95" customHeight="1" x14ac:dyDescent="0.2">
      <c r="A61" s="323">
        <v>1130101</v>
      </c>
      <c r="B61" s="373" t="s">
        <v>147</v>
      </c>
      <c r="C61" s="374"/>
      <c r="D61" s="374"/>
      <c r="E61" s="324">
        <v>506628.19</v>
      </c>
      <c r="F61" s="324">
        <v>389507.45</v>
      </c>
      <c r="H61" s="324">
        <v>150070.73000000001</v>
      </c>
      <c r="J61" s="324">
        <v>746064.91</v>
      </c>
      <c r="K61" s="321">
        <f t="shared" si="0"/>
        <v>239436.72000000003</v>
      </c>
    </row>
    <row r="62" spans="1:11" ht="15.95" customHeight="1" x14ac:dyDescent="0.2">
      <c r="A62" s="323" t="s">
        <v>148</v>
      </c>
      <c r="B62" s="373" t="s">
        <v>149</v>
      </c>
      <c r="C62" s="374"/>
      <c r="D62" s="374"/>
      <c r="E62" s="324">
        <v>403593.09</v>
      </c>
      <c r="F62" s="324">
        <v>197353.33</v>
      </c>
      <c r="H62" s="324">
        <v>0</v>
      </c>
      <c r="J62" s="324">
        <v>600946.42000000004</v>
      </c>
      <c r="K62" s="321">
        <f t="shared" si="0"/>
        <v>197353.33000000002</v>
      </c>
    </row>
    <row r="63" spans="1:11" ht="15.95" customHeight="1" x14ac:dyDescent="0.2">
      <c r="A63" s="323" t="s">
        <v>150</v>
      </c>
      <c r="B63" s="373" t="s">
        <v>151</v>
      </c>
      <c r="C63" s="374"/>
      <c r="D63" s="374"/>
      <c r="E63" s="324">
        <v>18953.169999999998</v>
      </c>
      <c r="F63" s="324">
        <v>891</v>
      </c>
      <c r="H63" s="324">
        <v>0</v>
      </c>
      <c r="J63" s="324">
        <v>19844.169999999998</v>
      </c>
      <c r="K63" s="321">
        <f t="shared" si="0"/>
        <v>891</v>
      </c>
    </row>
    <row r="64" spans="1:11" ht="15.95" customHeight="1" x14ac:dyDescent="0.2">
      <c r="A64" s="323" t="s">
        <v>152</v>
      </c>
      <c r="B64" s="373" t="s">
        <v>153</v>
      </c>
      <c r="C64" s="374"/>
      <c r="D64" s="374"/>
      <c r="E64" s="324">
        <v>0</v>
      </c>
      <c r="F64" s="324">
        <v>77.11</v>
      </c>
      <c r="H64" s="324">
        <v>0</v>
      </c>
      <c r="J64" s="324">
        <v>77.11</v>
      </c>
      <c r="K64" s="321">
        <f t="shared" si="0"/>
        <v>77.11</v>
      </c>
    </row>
    <row r="65" spans="1:11" ht="15.95" customHeight="1" x14ac:dyDescent="0.2">
      <c r="A65" s="323" t="s">
        <v>154</v>
      </c>
      <c r="B65" s="373" t="s">
        <v>155</v>
      </c>
      <c r="C65" s="374"/>
      <c r="D65" s="374"/>
      <c r="E65" s="324">
        <v>84081.93</v>
      </c>
      <c r="F65" s="324">
        <v>41115.279999999999</v>
      </c>
      <c r="H65" s="324">
        <v>0</v>
      </c>
      <c r="J65" s="324">
        <v>125197.21</v>
      </c>
      <c r="K65" s="321">
        <f t="shared" si="0"/>
        <v>41115.280000000013</v>
      </c>
    </row>
    <row r="66" spans="1:11" ht="15.95" customHeight="1" x14ac:dyDescent="0.2">
      <c r="A66" s="323" t="s">
        <v>156</v>
      </c>
      <c r="B66" s="373" t="s">
        <v>157</v>
      </c>
      <c r="C66" s="374"/>
      <c r="D66" s="374"/>
      <c r="E66" s="324">
        <v>0</v>
      </c>
      <c r="F66" s="324">
        <v>26724.9</v>
      </c>
      <c r="H66" s="324">
        <v>26724.9</v>
      </c>
      <c r="J66" s="324">
        <v>0</v>
      </c>
      <c r="K66" s="321">
        <f t="shared" si="0"/>
        <v>0</v>
      </c>
    </row>
    <row r="67" spans="1:11" ht="15.95" customHeight="1" x14ac:dyDescent="0.2">
      <c r="A67" s="323" t="s">
        <v>158</v>
      </c>
      <c r="B67" s="373" t="s">
        <v>159</v>
      </c>
      <c r="C67" s="374"/>
      <c r="D67" s="374"/>
      <c r="E67" s="324">
        <v>0</v>
      </c>
      <c r="F67" s="324">
        <v>123345.83</v>
      </c>
      <c r="H67" s="324">
        <v>123345.83</v>
      </c>
      <c r="J67" s="324">
        <v>0</v>
      </c>
      <c r="K67" s="321">
        <f t="shared" ref="K67:K130" si="1">J67-E67</f>
        <v>0</v>
      </c>
    </row>
    <row r="68" spans="1:11" ht="15.95" customHeight="1" x14ac:dyDescent="0.2">
      <c r="A68" s="323">
        <v>1130102</v>
      </c>
      <c r="B68" s="373" t="s">
        <v>160</v>
      </c>
      <c r="C68" s="374"/>
      <c r="D68" s="374"/>
      <c r="E68" s="324">
        <v>1046598.36</v>
      </c>
      <c r="F68" s="324">
        <v>0</v>
      </c>
      <c r="H68" s="324">
        <v>951128.35</v>
      </c>
      <c r="J68" s="324">
        <v>95470.01</v>
      </c>
      <c r="K68" s="321">
        <f t="shared" si="1"/>
        <v>-951128.35</v>
      </c>
    </row>
    <row r="69" spans="1:11" ht="15.95" customHeight="1" x14ac:dyDescent="0.2">
      <c r="A69" s="323" t="s">
        <v>1442</v>
      </c>
      <c r="B69" s="373" t="s">
        <v>1443</v>
      </c>
      <c r="C69" s="374"/>
      <c r="D69" s="374"/>
      <c r="E69" s="324">
        <v>1046598.36</v>
      </c>
      <c r="F69" s="324">
        <v>0</v>
      </c>
      <c r="H69" s="324">
        <v>951128.35</v>
      </c>
      <c r="J69" s="324">
        <v>95470.01</v>
      </c>
      <c r="K69" s="321">
        <f t="shared" si="1"/>
        <v>-951128.35</v>
      </c>
    </row>
    <row r="70" spans="1:11" ht="15.95" customHeight="1" x14ac:dyDescent="0.2">
      <c r="A70" s="323">
        <v>1130103</v>
      </c>
      <c r="B70" s="373" t="s">
        <v>163</v>
      </c>
      <c r="C70" s="374"/>
      <c r="D70" s="374"/>
      <c r="E70" s="324">
        <v>210132.62</v>
      </c>
      <c r="F70" s="324">
        <v>0</v>
      </c>
      <c r="H70" s="324">
        <v>0</v>
      </c>
      <c r="J70" s="324">
        <v>210132.62</v>
      </c>
      <c r="K70" s="321">
        <f t="shared" si="1"/>
        <v>0</v>
      </c>
    </row>
    <row r="71" spans="1:11" ht="15.95" customHeight="1" x14ac:dyDescent="0.2">
      <c r="A71" s="323" t="s">
        <v>1444</v>
      </c>
      <c r="B71" s="373" t="s">
        <v>1445</v>
      </c>
      <c r="C71" s="374"/>
      <c r="D71" s="374"/>
      <c r="E71" s="324">
        <v>210132.62</v>
      </c>
      <c r="F71" s="324">
        <v>0</v>
      </c>
      <c r="H71" s="324">
        <v>0</v>
      </c>
      <c r="J71" s="324">
        <v>210132.62</v>
      </c>
      <c r="K71" s="321">
        <f t="shared" si="1"/>
        <v>0</v>
      </c>
    </row>
    <row r="72" spans="1:11" ht="15.95" customHeight="1" x14ac:dyDescent="0.2">
      <c r="A72" s="325">
        <v>114</v>
      </c>
      <c r="B72" s="375" t="s">
        <v>173</v>
      </c>
      <c r="C72" s="376"/>
      <c r="D72" s="376"/>
      <c r="E72" s="326">
        <v>69089.600000000006</v>
      </c>
      <c r="F72" s="326">
        <v>10166.719999999999</v>
      </c>
      <c r="G72" s="327"/>
      <c r="H72" s="326">
        <v>18315.810000000001</v>
      </c>
      <c r="I72" s="327"/>
      <c r="J72" s="326">
        <v>60940.51</v>
      </c>
      <c r="K72" s="327">
        <f t="shared" si="1"/>
        <v>-8149.0900000000038</v>
      </c>
    </row>
    <row r="73" spans="1:11" ht="15.95" customHeight="1" x14ac:dyDescent="0.2">
      <c r="A73" s="323">
        <v>11401</v>
      </c>
      <c r="B73" s="373" t="s">
        <v>174</v>
      </c>
      <c r="C73" s="374"/>
      <c r="D73" s="374"/>
      <c r="E73" s="324">
        <v>69089.600000000006</v>
      </c>
      <c r="F73" s="324">
        <v>10166.719999999999</v>
      </c>
      <c r="H73" s="324">
        <v>18315.810000000001</v>
      </c>
      <c r="J73" s="324">
        <v>60940.51</v>
      </c>
      <c r="K73" s="321">
        <f t="shared" si="1"/>
        <v>-8149.0900000000038</v>
      </c>
    </row>
    <row r="74" spans="1:11" ht="15.95" customHeight="1" x14ac:dyDescent="0.2">
      <c r="A74" s="323">
        <v>1140101</v>
      </c>
      <c r="B74" s="373" t="s">
        <v>175</v>
      </c>
      <c r="C74" s="374"/>
      <c r="D74" s="374"/>
      <c r="E74" s="324">
        <v>9392.6</v>
      </c>
      <c r="F74" s="324">
        <v>998</v>
      </c>
      <c r="H74" s="324">
        <v>2259.1999999999998</v>
      </c>
      <c r="J74" s="324">
        <v>8131.4</v>
      </c>
      <c r="K74" s="321">
        <f t="shared" si="1"/>
        <v>-1261.2000000000007</v>
      </c>
    </row>
    <row r="75" spans="1:11" ht="15.95" customHeight="1" x14ac:dyDescent="0.2">
      <c r="A75" s="323" t="s">
        <v>176</v>
      </c>
      <c r="B75" s="373" t="s">
        <v>177</v>
      </c>
      <c r="C75" s="374"/>
      <c r="D75" s="374"/>
      <c r="E75" s="324">
        <v>3600</v>
      </c>
      <c r="F75" s="324">
        <v>998</v>
      </c>
      <c r="H75" s="324">
        <v>2198</v>
      </c>
      <c r="J75" s="324">
        <v>2400</v>
      </c>
      <c r="K75" s="321">
        <f t="shared" si="1"/>
        <v>-1200</v>
      </c>
    </row>
    <row r="76" spans="1:11" ht="15.95" customHeight="1" x14ac:dyDescent="0.2">
      <c r="A76" s="323" t="s">
        <v>1446</v>
      </c>
      <c r="B76" s="373" t="s">
        <v>1224</v>
      </c>
      <c r="C76" s="374"/>
      <c r="D76" s="374"/>
      <c r="E76" s="324">
        <v>122.4</v>
      </c>
      <c r="F76" s="324">
        <v>0</v>
      </c>
      <c r="H76" s="324">
        <v>61.2</v>
      </c>
      <c r="J76" s="324">
        <v>61.2</v>
      </c>
      <c r="K76" s="321">
        <f t="shared" si="1"/>
        <v>-61.2</v>
      </c>
    </row>
    <row r="77" spans="1:11" ht="15.95" customHeight="1" x14ac:dyDescent="0.2">
      <c r="A77" s="323" t="s">
        <v>178</v>
      </c>
      <c r="B77" s="373" t="s">
        <v>179</v>
      </c>
      <c r="C77" s="374"/>
      <c r="D77" s="374"/>
      <c r="E77" s="324">
        <v>5670.2</v>
      </c>
      <c r="F77" s="324">
        <v>0</v>
      </c>
      <c r="H77" s="324">
        <v>0</v>
      </c>
      <c r="J77" s="324">
        <v>5670.2</v>
      </c>
      <c r="K77" s="321">
        <f t="shared" si="1"/>
        <v>0</v>
      </c>
    </row>
    <row r="78" spans="1:11" ht="15.95" customHeight="1" x14ac:dyDescent="0.2">
      <c r="A78" s="323">
        <v>1140102</v>
      </c>
      <c r="B78" s="373" t="s">
        <v>180</v>
      </c>
      <c r="C78" s="374"/>
      <c r="D78" s="374"/>
      <c r="E78" s="324">
        <v>59697</v>
      </c>
      <c r="F78" s="324">
        <v>9168.7199999999993</v>
      </c>
      <c r="H78" s="324">
        <v>16056.61</v>
      </c>
      <c r="J78" s="324">
        <v>52809.11</v>
      </c>
      <c r="K78" s="321">
        <f t="shared" si="1"/>
        <v>-6887.8899999999994</v>
      </c>
    </row>
    <row r="79" spans="1:11" ht="15.95" customHeight="1" x14ac:dyDescent="0.2">
      <c r="A79" s="323" t="s">
        <v>181</v>
      </c>
      <c r="B79" s="373" t="s">
        <v>182</v>
      </c>
      <c r="C79" s="374"/>
      <c r="D79" s="374"/>
      <c r="E79" s="324">
        <v>38688.97</v>
      </c>
      <c r="F79" s="324">
        <v>0</v>
      </c>
      <c r="H79" s="324">
        <v>8862.44</v>
      </c>
      <c r="J79" s="324">
        <v>29826.53</v>
      </c>
      <c r="K79" s="321">
        <f t="shared" si="1"/>
        <v>-8862.4400000000023</v>
      </c>
    </row>
    <row r="80" spans="1:11" ht="15.95" customHeight="1" x14ac:dyDescent="0.2">
      <c r="A80" s="323" t="s">
        <v>183</v>
      </c>
      <c r="B80" s="373" t="s">
        <v>184</v>
      </c>
      <c r="C80" s="374"/>
      <c r="D80" s="374"/>
      <c r="E80" s="324">
        <v>0</v>
      </c>
      <c r="F80" s="324">
        <v>4323.72</v>
      </c>
      <c r="H80" s="324">
        <v>4323.72</v>
      </c>
      <c r="J80" s="324">
        <v>0</v>
      </c>
      <c r="K80" s="321">
        <f t="shared" si="1"/>
        <v>0</v>
      </c>
    </row>
    <row r="81" spans="1:11" ht="15.95" customHeight="1" x14ac:dyDescent="0.2">
      <c r="A81" s="323" t="s">
        <v>185</v>
      </c>
      <c r="B81" s="373" t="s">
        <v>186</v>
      </c>
      <c r="C81" s="374"/>
      <c r="D81" s="374"/>
      <c r="E81" s="324">
        <v>152</v>
      </c>
      <c r="F81" s="324">
        <v>3677</v>
      </c>
      <c r="H81" s="324">
        <v>954</v>
      </c>
      <c r="J81" s="324">
        <v>2875</v>
      </c>
      <c r="K81" s="321">
        <f t="shared" si="1"/>
        <v>2723</v>
      </c>
    </row>
    <row r="82" spans="1:11" ht="15.95" customHeight="1" x14ac:dyDescent="0.2">
      <c r="A82" s="323" t="s">
        <v>187</v>
      </c>
      <c r="B82" s="373" t="s">
        <v>188</v>
      </c>
      <c r="C82" s="374"/>
      <c r="D82" s="374"/>
      <c r="E82" s="324">
        <v>146.56</v>
      </c>
      <c r="F82" s="324">
        <v>1168</v>
      </c>
      <c r="H82" s="324">
        <v>1241.6199999999999</v>
      </c>
      <c r="J82" s="324">
        <v>72.94</v>
      </c>
      <c r="K82" s="321">
        <f t="shared" si="1"/>
        <v>-73.62</v>
      </c>
    </row>
    <row r="83" spans="1:11" ht="15.95" customHeight="1" x14ac:dyDescent="0.2">
      <c r="A83" s="323" t="s">
        <v>189</v>
      </c>
      <c r="B83" s="373" t="s">
        <v>190</v>
      </c>
      <c r="C83" s="374"/>
      <c r="D83" s="374"/>
      <c r="E83" s="324">
        <v>7193.9</v>
      </c>
      <c r="F83" s="324">
        <v>0</v>
      </c>
      <c r="H83" s="324">
        <v>461.86</v>
      </c>
      <c r="J83" s="324">
        <v>6732.04</v>
      </c>
      <c r="K83" s="321">
        <f t="shared" si="1"/>
        <v>-461.85999999999967</v>
      </c>
    </row>
    <row r="84" spans="1:11" ht="15.95" customHeight="1" x14ac:dyDescent="0.2">
      <c r="A84" s="323" t="s">
        <v>191</v>
      </c>
      <c r="B84" s="373" t="s">
        <v>192</v>
      </c>
      <c r="C84" s="374"/>
      <c r="D84" s="374"/>
      <c r="E84" s="324">
        <v>805.48</v>
      </c>
      <c r="F84" s="324">
        <v>0</v>
      </c>
      <c r="H84" s="324">
        <v>41.25</v>
      </c>
      <c r="J84" s="324">
        <v>764.23</v>
      </c>
      <c r="K84" s="321">
        <f t="shared" si="1"/>
        <v>-41.25</v>
      </c>
    </row>
    <row r="85" spans="1:11" ht="15.95" customHeight="1" x14ac:dyDescent="0.2">
      <c r="A85" s="323" t="s">
        <v>193</v>
      </c>
      <c r="B85" s="373" t="s">
        <v>194</v>
      </c>
      <c r="C85" s="374"/>
      <c r="D85" s="374"/>
      <c r="E85" s="324">
        <v>8595.81</v>
      </c>
      <c r="F85" s="324">
        <v>0</v>
      </c>
      <c r="H85" s="324">
        <v>171.72</v>
      </c>
      <c r="J85" s="324">
        <v>8424.09</v>
      </c>
      <c r="K85" s="321">
        <f t="shared" si="1"/>
        <v>-171.71999999999935</v>
      </c>
    </row>
    <row r="86" spans="1:11" ht="15.95" customHeight="1" x14ac:dyDescent="0.2">
      <c r="A86" s="323" t="s">
        <v>195</v>
      </c>
      <c r="B86" s="373" t="s">
        <v>196</v>
      </c>
      <c r="C86" s="374"/>
      <c r="D86" s="374"/>
      <c r="E86" s="324">
        <v>4114.28</v>
      </c>
      <c r="F86" s="324">
        <v>0</v>
      </c>
      <c r="H86" s="324">
        <v>0</v>
      </c>
      <c r="J86" s="324">
        <v>4114.28</v>
      </c>
      <c r="K86" s="321">
        <f t="shared" si="1"/>
        <v>0</v>
      </c>
    </row>
    <row r="87" spans="1:11" ht="15.95" customHeight="1" x14ac:dyDescent="0.2">
      <c r="A87" s="325">
        <v>117</v>
      </c>
      <c r="B87" s="375" t="s">
        <v>197</v>
      </c>
      <c r="C87" s="376"/>
      <c r="D87" s="376"/>
      <c r="E87" s="326">
        <v>89367.15</v>
      </c>
      <c r="F87" s="326">
        <v>48035.61</v>
      </c>
      <c r="G87" s="327"/>
      <c r="H87" s="326">
        <v>75474.759999999995</v>
      </c>
      <c r="I87" s="327"/>
      <c r="J87" s="326">
        <v>61928</v>
      </c>
      <c r="K87" s="327">
        <f t="shared" si="1"/>
        <v>-27439.149999999994</v>
      </c>
    </row>
    <row r="88" spans="1:11" ht="15.95" customHeight="1" x14ac:dyDescent="0.2">
      <c r="A88" s="323">
        <v>11701</v>
      </c>
      <c r="B88" s="373" t="s">
        <v>197</v>
      </c>
      <c r="C88" s="374"/>
      <c r="D88" s="374"/>
      <c r="E88" s="324">
        <v>89367.15</v>
      </c>
      <c r="F88" s="324">
        <v>48035.61</v>
      </c>
      <c r="H88" s="324">
        <v>75474.759999999995</v>
      </c>
      <c r="J88" s="324">
        <v>61928</v>
      </c>
      <c r="K88" s="321">
        <f t="shared" si="1"/>
        <v>-27439.149999999994</v>
      </c>
    </row>
    <row r="89" spans="1:11" ht="15.95" customHeight="1" x14ac:dyDescent="0.2">
      <c r="A89" s="323">
        <v>1170101</v>
      </c>
      <c r="B89" s="373" t="s">
        <v>198</v>
      </c>
      <c r="C89" s="374"/>
      <c r="D89" s="374"/>
      <c r="E89" s="324">
        <v>79105.55</v>
      </c>
      <c r="F89" s="324">
        <v>48035.61</v>
      </c>
      <c r="H89" s="324">
        <v>68335.839999999997</v>
      </c>
      <c r="J89" s="324">
        <v>58805.32</v>
      </c>
      <c r="K89" s="321">
        <f t="shared" si="1"/>
        <v>-20300.230000000003</v>
      </c>
    </row>
    <row r="90" spans="1:11" ht="15.95" customHeight="1" x14ac:dyDescent="0.2">
      <c r="A90" s="323" t="s">
        <v>199</v>
      </c>
      <c r="B90" s="373" t="s">
        <v>200</v>
      </c>
      <c r="C90" s="374"/>
      <c r="D90" s="374"/>
      <c r="E90" s="324">
        <v>64428</v>
      </c>
      <c r="F90" s="324">
        <v>0</v>
      </c>
      <c r="H90" s="324">
        <v>48321</v>
      </c>
      <c r="J90" s="324">
        <v>16107</v>
      </c>
      <c r="K90" s="321">
        <f t="shared" si="1"/>
        <v>-48321</v>
      </c>
    </row>
    <row r="91" spans="1:11" ht="15.95" customHeight="1" x14ac:dyDescent="0.2">
      <c r="A91" s="323" t="s">
        <v>201</v>
      </c>
      <c r="B91" s="373" t="s">
        <v>202</v>
      </c>
      <c r="C91" s="374"/>
      <c r="D91" s="374"/>
      <c r="E91" s="324">
        <v>14677.55</v>
      </c>
      <c r="F91" s="324">
        <v>48035.61</v>
      </c>
      <c r="H91" s="324">
        <v>20014.84</v>
      </c>
      <c r="J91" s="324">
        <v>42698.32</v>
      </c>
      <c r="K91" s="321">
        <f t="shared" si="1"/>
        <v>28020.77</v>
      </c>
    </row>
    <row r="92" spans="1:11" ht="15.95" customHeight="1" x14ac:dyDescent="0.2">
      <c r="A92" s="323">
        <v>1170102</v>
      </c>
      <c r="B92" s="373" t="s">
        <v>203</v>
      </c>
      <c r="C92" s="374"/>
      <c r="D92" s="374"/>
      <c r="E92" s="324">
        <v>4236.1400000000003</v>
      </c>
      <c r="F92" s="324">
        <v>0</v>
      </c>
      <c r="H92" s="324">
        <v>4126.17</v>
      </c>
      <c r="J92" s="324">
        <v>109.97</v>
      </c>
      <c r="K92" s="321">
        <f t="shared" si="1"/>
        <v>-4126.17</v>
      </c>
    </row>
    <row r="93" spans="1:11" ht="15.95" customHeight="1" x14ac:dyDescent="0.2">
      <c r="A93" s="323" t="s">
        <v>1447</v>
      </c>
      <c r="B93" s="373" t="s">
        <v>1448</v>
      </c>
      <c r="C93" s="374"/>
      <c r="D93" s="374"/>
      <c r="E93" s="324">
        <v>219.98</v>
      </c>
      <c r="F93" s="324">
        <v>0</v>
      </c>
      <c r="H93" s="324">
        <v>110.01</v>
      </c>
      <c r="J93" s="324">
        <v>109.97</v>
      </c>
      <c r="K93" s="321">
        <f t="shared" si="1"/>
        <v>-110.00999999999999</v>
      </c>
    </row>
    <row r="94" spans="1:11" ht="15.95" customHeight="1" x14ac:dyDescent="0.2">
      <c r="A94" s="323" t="s">
        <v>204</v>
      </c>
      <c r="B94" s="373" t="s">
        <v>205</v>
      </c>
      <c r="C94" s="374"/>
      <c r="D94" s="374"/>
      <c r="E94" s="324">
        <v>4016.16</v>
      </c>
      <c r="F94" s="324">
        <v>0</v>
      </c>
      <c r="H94" s="324">
        <v>4016.16</v>
      </c>
      <c r="J94" s="324">
        <v>0</v>
      </c>
      <c r="K94" s="321">
        <f t="shared" si="1"/>
        <v>-4016.16</v>
      </c>
    </row>
    <row r="95" spans="1:11" ht="15.95" customHeight="1" x14ac:dyDescent="0.2">
      <c r="A95" s="323">
        <v>1170103</v>
      </c>
      <c r="B95" s="373" t="s">
        <v>206</v>
      </c>
      <c r="C95" s="374"/>
      <c r="D95" s="374"/>
      <c r="E95" s="324">
        <v>6025.46</v>
      </c>
      <c r="F95" s="324">
        <v>0</v>
      </c>
      <c r="H95" s="324">
        <v>3012.75</v>
      </c>
      <c r="J95" s="324">
        <v>3012.71</v>
      </c>
      <c r="K95" s="321">
        <f t="shared" si="1"/>
        <v>-3012.75</v>
      </c>
    </row>
    <row r="96" spans="1:11" ht="15.95" customHeight="1" x14ac:dyDescent="0.2">
      <c r="A96" s="323" t="s">
        <v>207</v>
      </c>
      <c r="B96" s="373" t="s">
        <v>208</v>
      </c>
      <c r="C96" s="374"/>
      <c r="D96" s="374"/>
      <c r="E96" s="324">
        <v>6025.46</v>
      </c>
      <c r="F96" s="324">
        <v>0</v>
      </c>
      <c r="H96" s="324">
        <v>3012.75</v>
      </c>
      <c r="J96" s="324">
        <v>3012.71</v>
      </c>
      <c r="K96" s="321">
        <f t="shared" si="1"/>
        <v>-3012.75</v>
      </c>
    </row>
    <row r="97" spans="1:11" ht="15.95" customHeight="1" x14ac:dyDescent="0.2">
      <c r="A97" s="323">
        <v>12</v>
      </c>
      <c r="B97" s="373" t="s">
        <v>209</v>
      </c>
      <c r="C97" s="374"/>
      <c r="D97" s="374"/>
      <c r="E97" s="324">
        <v>311062698.52999997</v>
      </c>
      <c r="F97" s="324">
        <v>923466.5</v>
      </c>
      <c r="H97" s="324">
        <v>4889759.95</v>
      </c>
      <c r="J97" s="324">
        <v>307096405.07999998</v>
      </c>
      <c r="K97" s="321">
        <f t="shared" si="1"/>
        <v>-3966293.4499999881</v>
      </c>
    </row>
    <row r="98" spans="1:11" ht="15.95" customHeight="1" x14ac:dyDescent="0.2">
      <c r="A98" s="323">
        <v>121</v>
      </c>
      <c r="B98" s="373" t="s">
        <v>210</v>
      </c>
      <c r="C98" s="374"/>
      <c r="D98" s="374"/>
      <c r="E98" s="324">
        <v>670501.42000000004</v>
      </c>
      <c r="F98" s="324">
        <v>48511.85</v>
      </c>
      <c r="H98" s="324">
        <v>9310.57</v>
      </c>
      <c r="J98" s="324">
        <v>709702.7</v>
      </c>
      <c r="K98" s="321">
        <f t="shared" si="1"/>
        <v>39201.279999999912</v>
      </c>
    </row>
    <row r="99" spans="1:11" ht="15.95" customHeight="1" x14ac:dyDescent="0.2">
      <c r="A99" s="325">
        <v>12101</v>
      </c>
      <c r="B99" s="375" t="s">
        <v>211</v>
      </c>
      <c r="C99" s="376"/>
      <c r="D99" s="376"/>
      <c r="E99" s="326">
        <v>597113.94999999995</v>
      </c>
      <c r="F99" s="326">
        <v>48511.85</v>
      </c>
      <c r="G99" s="327"/>
      <c r="H99" s="326">
        <v>9310.57</v>
      </c>
      <c r="I99" s="327"/>
      <c r="J99" s="326">
        <v>636315.23</v>
      </c>
      <c r="K99" s="327">
        <f t="shared" si="1"/>
        <v>39201.280000000028</v>
      </c>
    </row>
    <row r="100" spans="1:11" ht="15.95" customHeight="1" x14ac:dyDescent="0.2">
      <c r="A100" s="323">
        <v>1210101</v>
      </c>
      <c r="B100" s="373" t="s">
        <v>212</v>
      </c>
      <c r="C100" s="374"/>
      <c r="D100" s="374"/>
      <c r="E100" s="324">
        <v>300105.12</v>
      </c>
      <c r="F100" s="324">
        <v>48511.85</v>
      </c>
      <c r="H100" s="324">
        <v>9310.57</v>
      </c>
      <c r="J100" s="324">
        <v>339306.4</v>
      </c>
      <c r="K100" s="321">
        <f t="shared" si="1"/>
        <v>39201.280000000028</v>
      </c>
    </row>
    <row r="101" spans="1:11" ht="15.95" customHeight="1" x14ac:dyDescent="0.2">
      <c r="A101" s="323" t="s">
        <v>213</v>
      </c>
      <c r="B101" s="373" t="s">
        <v>214</v>
      </c>
      <c r="C101" s="374"/>
      <c r="D101" s="374"/>
      <c r="E101" s="324">
        <v>16601.04</v>
      </c>
      <c r="F101" s="324">
        <v>0</v>
      </c>
      <c r="H101" s="324">
        <v>0</v>
      </c>
      <c r="J101" s="324">
        <v>16601.04</v>
      </c>
      <c r="K101" s="321">
        <f t="shared" si="1"/>
        <v>0</v>
      </c>
    </row>
    <row r="102" spans="1:11" ht="15.95" customHeight="1" x14ac:dyDescent="0.2">
      <c r="A102" s="323" t="s">
        <v>1455</v>
      </c>
      <c r="B102" s="373" t="s">
        <v>1456</v>
      </c>
      <c r="C102" s="374"/>
      <c r="D102" s="374"/>
      <c r="E102" s="324">
        <v>6598.21</v>
      </c>
      <c r="F102" s="324">
        <v>0</v>
      </c>
      <c r="H102" s="324">
        <v>0</v>
      </c>
      <c r="J102" s="324">
        <v>6598.21</v>
      </c>
      <c r="K102" s="321">
        <f t="shared" si="1"/>
        <v>0</v>
      </c>
    </row>
    <row r="103" spans="1:11" ht="15.95" customHeight="1" x14ac:dyDescent="0.2">
      <c r="A103" s="323" t="s">
        <v>215</v>
      </c>
      <c r="B103" s="373" t="s">
        <v>216</v>
      </c>
      <c r="C103" s="374"/>
      <c r="D103" s="374"/>
      <c r="E103" s="324">
        <v>8183.06</v>
      </c>
      <c r="F103" s="324">
        <v>0</v>
      </c>
      <c r="H103" s="324">
        <v>0</v>
      </c>
      <c r="J103" s="324">
        <v>8183.06</v>
      </c>
      <c r="K103" s="321">
        <f t="shared" si="1"/>
        <v>0</v>
      </c>
    </row>
    <row r="104" spans="1:11" ht="15.95" customHeight="1" x14ac:dyDescent="0.2">
      <c r="A104" s="323" t="s">
        <v>217</v>
      </c>
      <c r="B104" s="373" t="s">
        <v>218</v>
      </c>
      <c r="C104" s="374"/>
      <c r="D104" s="374"/>
      <c r="E104" s="324">
        <v>37499.11</v>
      </c>
      <c r="F104" s="324">
        <v>0</v>
      </c>
      <c r="H104" s="324">
        <v>0</v>
      </c>
      <c r="J104" s="324">
        <v>37499.11</v>
      </c>
      <c r="K104" s="321">
        <f t="shared" si="1"/>
        <v>0</v>
      </c>
    </row>
    <row r="105" spans="1:11" ht="15.95" customHeight="1" x14ac:dyDescent="0.2">
      <c r="A105" s="323" t="s">
        <v>1457</v>
      </c>
      <c r="B105" s="373" t="s">
        <v>1458</v>
      </c>
      <c r="C105" s="374"/>
      <c r="D105" s="374"/>
      <c r="E105" s="324">
        <v>8959.6299999999992</v>
      </c>
      <c r="F105" s="324">
        <v>0</v>
      </c>
      <c r="H105" s="324">
        <v>0</v>
      </c>
      <c r="J105" s="324">
        <v>8959.6299999999992</v>
      </c>
      <c r="K105" s="321">
        <f t="shared" si="1"/>
        <v>0</v>
      </c>
    </row>
    <row r="106" spans="1:11" ht="15.95" customHeight="1" x14ac:dyDescent="0.2">
      <c r="A106" s="323" t="s">
        <v>219</v>
      </c>
      <c r="B106" s="373" t="s">
        <v>220</v>
      </c>
      <c r="C106" s="374"/>
      <c r="D106" s="374"/>
      <c r="E106" s="324">
        <v>30341.45</v>
      </c>
      <c r="F106" s="324">
        <v>0</v>
      </c>
      <c r="H106" s="324">
        <v>0</v>
      </c>
      <c r="J106" s="324">
        <v>30341.45</v>
      </c>
      <c r="K106" s="321">
        <f t="shared" si="1"/>
        <v>0</v>
      </c>
    </row>
    <row r="107" spans="1:11" ht="15.95" customHeight="1" x14ac:dyDescent="0.2">
      <c r="A107" s="323" t="s">
        <v>221</v>
      </c>
      <c r="B107" s="373" t="s">
        <v>222</v>
      </c>
      <c r="C107" s="374"/>
      <c r="D107" s="374"/>
      <c r="E107" s="324">
        <v>34000</v>
      </c>
      <c r="F107" s="324">
        <v>0</v>
      </c>
      <c r="H107" s="324">
        <v>9310.57</v>
      </c>
      <c r="J107" s="324">
        <v>24689.43</v>
      </c>
      <c r="K107" s="321">
        <f t="shared" si="1"/>
        <v>-9310.57</v>
      </c>
    </row>
    <row r="108" spans="1:11" ht="15.95" customHeight="1" x14ac:dyDescent="0.2">
      <c r="A108" s="323" t="s">
        <v>223</v>
      </c>
      <c r="B108" s="373" t="s">
        <v>224</v>
      </c>
      <c r="C108" s="374"/>
      <c r="D108" s="374"/>
      <c r="E108" s="324">
        <v>30000</v>
      </c>
      <c r="F108" s="324">
        <v>0</v>
      </c>
      <c r="H108" s="324">
        <v>0</v>
      </c>
      <c r="J108" s="324">
        <v>30000</v>
      </c>
      <c r="K108" s="321">
        <f t="shared" si="1"/>
        <v>0</v>
      </c>
    </row>
    <row r="109" spans="1:11" ht="27.95" customHeight="1" x14ac:dyDescent="0.2">
      <c r="A109" s="323" t="s">
        <v>225</v>
      </c>
      <c r="B109" s="373" t="s">
        <v>226</v>
      </c>
      <c r="C109" s="374"/>
      <c r="D109" s="374"/>
      <c r="E109" s="324">
        <v>9189</v>
      </c>
      <c r="F109" s="324">
        <v>0</v>
      </c>
      <c r="H109" s="324">
        <v>0</v>
      </c>
      <c r="J109" s="324">
        <v>9189</v>
      </c>
      <c r="K109" s="321">
        <f t="shared" si="1"/>
        <v>0</v>
      </c>
    </row>
    <row r="110" spans="1:11" ht="15.95" customHeight="1" x14ac:dyDescent="0.2">
      <c r="A110" s="323" t="s">
        <v>227</v>
      </c>
      <c r="B110" s="373" t="s">
        <v>228</v>
      </c>
      <c r="C110" s="374"/>
      <c r="D110" s="374"/>
      <c r="E110" s="324">
        <v>9189</v>
      </c>
      <c r="F110" s="324">
        <v>28854.83</v>
      </c>
      <c r="H110" s="324">
        <v>0</v>
      </c>
      <c r="J110" s="324">
        <v>38043.83</v>
      </c>
      <c r="K110" s="321">
        <f t="shared" si="1"/>
        <v>28854.83</v>
      </c>
    </row>
    <row r="111" spans="1:11" ht="15.95" customHeight="1" x14ac:dyDescent="0.2">
      <c r="A111" s="323" t="s">
        <v>229</v>
      </c>
      <c r="B111" s="373" t="s">
        <v>230</v>
      </c>
      <c r="C111" s="374"/>
      <c r="D111" s="374"/>
      <c r="E111" s="324">
        <v>37728.480000000003</v>
      </c>
      <c r="F111" s="324">
        <v>0</v>
      </c>
      <c r="H111" s="324">
        <v>0</v>
      </c>
      <c r="J111" s="324">
        <v>37728.480000000003</v>
      </c>
      <c r="K111" s="321">
        <f t="shared" si="1"/>
        <v>0</v>
      </c>
    </row>
    <row r="112" spans="1:11" ht="15.95" customHeight="1" x14ac:dyDescent="0.2">
      <c r="A112" s="323" t="s">
        <v>231</v>
      </c>
      <c r="B112" s="373" t="s">
        <v>232</v>
      </c>
      <c r="C112" s="374"/>
      <c r="D112" s="374"/>
      <c r="E112" s="324">
        <v>6000</v>
      </c>
      <c r="F112" s="324">
        <v>0</v>
      </c>
      <c r="H112" s="324">
        <v>0</v>
      </c>
      <c r="J112" s="324">
        <v>6000</v>
      </c>
      <c r="K112" s="321">
        <f t="shared" si="1"/>
        <v>0</v>
      </c>
    </row>
    <row r="113" spans="1:11" ht="15.95" customHeight="1" x14ac:dyDescent="0.2">
      <c r="A113" s="323" t="s">
        <v>233</v>
      </c>
      <c r="B113" s="373" t="s">
        <v>234</v>
      </c>
      <c r="C113" s="374"/>
      <c r="D113" s="374"/>
      <c r="E113" s="324">
        <v>16175.6</v>
      </c>
      <c r="F113" s="324">
        <v>0</v>
      </c>
      <c r="H113" s="324">
        <v>0</v>
      </c>
      <c r="J113" s="324">
        <v>16175.6</v>
      </c>
      <c r="K113" s="321">
        <f t="shared" si="1"/>
        <v>0</v>
      </c>
    </row>
    <row r="114" spans="1:11" ht="15.95" customHeight="1" x14ac:dyDescent="0.2">
      <c r="A114" s="323" t="s">
        <v>235</v>
      </c>
      <c r="B114" s="373" t="s">
        <v>236</v>
      </c>
      <c r="C114" s="374"/>
      <c r="D114" s="374"/>
      <c r="E114" s="324">
        <v>9189</v>
      </c>
      <c r="F114" s="324">
        <v>0</v>
      </c>
      <c r="H114" s="324">
        <v>0</v>
      </c>
      <c r="J114" s="324">
        <v>9189</v>
      </c>
      <c r="K114" s="321">
        <f t="shared" si="1"/>
        <v>0</v>
      </c>
    </row>
    <row r="115" spans="1:11" ht="15.95" customHeight="1" x14ac:dyDescent="0.2">
      <c r="A115" s="323" t="s">
        <v>237</v>
      </c>
      <c r="B115" s="373" t="s">
        <v>238</v>
      </c>
      <c r="C115" s="374"/>
      <c r="D115" s="374"/>
      <c r="E115" s="324">
        <v>9189</v>
      </c>
      <c r="F115" s="324">
        <v>0</v>
      </c>
      <c r="H115" s="324">
        <v>0</v>
      </c>
      <c r="J115" s="324">
        <v>9189</v>
      </c>
      <c r="K115" s="321">
        <f t="shared" si="1"/>
        <v>0</v>
      </c>
    </row>
    <row r="116" spans="1:11" ht="15.95" customHeight="1" x14ac:dyDescent="0.2">
      <c r="A116" s="323" t="s">
        <v>239</v>
      </c>
      <c r="B116" s="373" t="s">
        <v>240</v>
      </c>
      <c r="C116" s="374"/>
      <c r="D116" s="374"/>
      <c r="E116" s="324">
        <v>10000</v>
      </c>
      <c r="F116" s="324">
        <v>0</v>
      </c>
      <c r="H116" s="324">
        <v>0</v>
      </c>
      <c r="J116" s="324">
        <v>10000</v>
      </c>
      <c r="K116" s="321">
        <f t="shared" si="1"/>
        <v>0</v>
      </c>
    </row>
    <row r="117" spans="1:11" ht="15.95" customHeight="1" x14ac:dyDescent="0.2">
      <c r="A117" s="323" t="s">
        <v>241</v>
      </c>
      <c r="B117" s="373" t="s">
        <v>242</v>
      </c>
      <c r="C117" s="374"/>
      <c r="D117" s="374"/>
      <c r="E117" s="324">
        <v>2236.2199999999998</v>
      </c>
      <c r="F117" s="324">
        <v>0</v>
      </c>
      <c r="H117" s="324">
        <v>0</v>
      </c>
      <c r="J117" s="324">
        <v>2236.2199999999998</v>
      </c>
      <c r="K117" s="321">
        <f t="shared" si="1"/>
        <v>0</v>
      </c>
    </row>
    <row r="118" spans="1:11" ht="15.95" customHeight="1" x14ac:dyDescent="0.2">
      <c r="A118" s="323" t="s">
        <v>245</v>
      </c>
      <c r="B118" s="373" t="s">
        <v>246</v>
      </c>
      <c r="C118" s="374"/>
      <c r="D118" s="374"/>
      <c r="E118" s="324">
        <v>9513.16</v>
      </c>
      <c r="F118" s="324">
        <v>0</v>
      </c>
      <c r="H118" s="324">
        <v>0</v>
      </c>
      <c r="J118" s="324">
        <v>9513.16</v>
      </c>
      <c r="K118" s="321">
        <f t="shared" si="1"/>
        <v>0</v>
      </c>
    </row>
    <row r="119" spans="1:11" ht="15.95" customHeight="1" x14ac:dyDescent="0.2">
      <c r="A119" s="323" t="s">
        <v>247</v>
      </c>
      <c r="B119" s="373" t="s">
        <v>248</v>
      </c>
      <c r="C119" s="374"/>
      <c r="D119" s="374"/>
      <c r="E119" s="324">
        <v>9513.16</v>
      </c>
      <c r="F119" s="324">
        <v>0</v>
      </c>
      <c r="H119" s="324">
        <v>0</v>
      </c>
      <c r="J119" s="324">
        <v>9513.16</v>
      </c>
      <c r="K119" s="321">
        <f t="shared" si="1"/>
        <v>0</v>
      </c>
    </row>
    <row r="120" spans="1:11" ht="15.95" customHeight="1" x14ac:dyDescent="0.2">
      <c r="A120" s="323" t="s">
        <v>249</v>
      </c>
      <c r="B120" s="373" t="s">
        <v>250</v>
      </c>
      <c r="C120" s="374"/>
      <c r="D120" s="374"/>
      <c r="E120" s="324">
        <v>0</v>
      </c>
      <c r="F120" s="324">
        <v>19657.02</v>
      </c>
      <c r="H120" s="324">
        <v>0</v>
      </c>
      <c r="J120" s="324">
        <v>19657.02</v>
      </c>
      <c r="K120" s="321">
        <f t="shared" si="1"/>
        <v>19657.02</v>
      </c>
    </row>
    <row r="121" spans="1:11" ht="15.95" customHeight="1" x14ac:dyDescent="0.2">
      <c r="A121" s="323">
        <v>1210102</v>
      </c>
      <c r="B121" s="373" t="s">
        <v>253</v>
      </c>
      <c r="C121" s="374"/>
      <c r="D121" s="374"/>
      <c r="E121" s="324">
        <v>290583.83</v>
      </c>
      <c r="F121" s="324">
        <v>0</v>
      </c>
      <c r="H121" s="324">
        <v>0</v>
      </c>
      <c r="J121" s="324">
        <v>290583.83</v>
      </c>
      <c r="K121" s="321">
        <f t="shared" si="1"/>
        <v>0</v>
      </c>
    </row>
    <row r="122" spans="1:11" ht="15.95" customHeight="1" x14ac:dyDescent="0.2">
      <c r="A122" s="323" t="s">
        <v>254</v>
      </c>
      <c r="B122" s="373" t="s">
        <v>255</v>
      </c>
      <c r="C122" s="374"/>
      <c r="D122" s="374"/>
      <c r="E122" s="324">
        <v>83470.55</v>
      </c>
      <c r="F122" s="324">
        <v>0</v>
      </c>
      <c r="H122" s="324">
        <v>0</v>
      </c>
      <c r="J122" s="324">
        <v>83470.55</v>
      </c>
      <c r="K122" s="321">
        <f t="shared" si="1"/>
        <v>0</v>
      </c>
    </row>
    <row r="123" spans="1:11" ht="15.95" customHeight="1" x14ac:dyDescent="0.2">
      <c r="A123" s="323" t="s">
        <v>256</v>
      </c>
      <c r="B123" s="373" t="s">
        <v>257</v>
      </c>
      <c r="C123" s="374"/>
      <c r="D123" s="374"/>
      <c r="E123" s="324">
        <v>56164.26</v>
      </c>
      <c r="F123" s="324">
        <v>0</v>
      </c>
      <c r="H123" s="324">
        <v>0</v>
      </c>
      <c r="J123" s="324">
        <v>56164.26</v>
      </c>
      <c r="K123" s="321">
        <f t="shared" si="1"/>
        <v>0</v>
      </c>
    </row>
    <row r="124" spans="1:11" ht="15.95" customHeight="1" x14ac:dyDescent="0.2">
      <c r="A124" s="323" t="s">
        <v>1465</v>
      </c>
      <c r="B124" s="373" t="s">
        <v>1466</v>
      </c>
      <c r="C124" s="374"/>
      <c r="D124" s="374"/>
      <c r="E124" s="324">
        <v>86201.25</v>
      </c>
      <c r="F124" s="324">
        <v>0</v>
      </c>
      <c r="H124" s="324">
        <v>0</v>
      </c>
      <c r="J124" s="324">
        <v>86201.25</v>
      </c>
      <c r="K124" s="321">
        <f t="shared" si="1"/>
        <v>0</v>
      </c>
    </row>
    <row r="125" spans="1:11" ht="15.95" customHeight="1" x14ac:dyDescent="0.2">
      <c r="A125" s="323" t="s">
        <v>258</v>
      </c>
      <c r="B125" s="373" t="s">
        <v>259</v>
      </c>
      <c r="C125" s="374"/>
      <c r="D125" s="374"/>
      <c r="E125" s="324">
        <v>5948.57</v>
      </c>
      <c r="F125" s="324">
        <v>0</v>
      </c>
      <c r="H125" s="324">
        <v>0</v>
      </c>
      <c r="J125" s="324">
        <v>5948.57</v>
      </c>
      <c r="K125" s="321">
        <f t="shared" si="1"/>
        <v>0</v>
      </c>
    </row>
    <row r="126" spans="1:11" ht="15.95" customHeight="1" x14ac:dyDescent="0.2">
      <c r="A126" s="323" t="s">
        <v>260</v>
      </c>
      <c r="B126" s="373" t="s">
        <v>261</v>
      </c>
      <c r="C126" s="374"/>
      <c r="D126" s="374"/>
      <c r="E126" s="324">
        <v>2529.92</v>
      </c>
      <c r="F126" s="324">
        <v>0</v>
      </c>
      <c r="H126" s="324">
        <v>0</v>
      </c>
      <c r="J126" s="324">
        <v>2529.92</v>
      </c>
      <c r="K126" s="321">
        <f t="shared" si="1"/>
        <v>0</v>
      </c>
    </row>
    <row r="127" spans="1:11" ht="15.95" customHeight="1" x14ac:dyDescent="0.2">
      <c r="A127" s="323" t="s">
        <v>262</v>
      </c>
      <c r="B127" s="373" t="s">
        <v>263</v>
      </c>
      <c r="C127" s="374"/>
      <c r="D127" s="374"/>
      <c r="E127" s="324">
        <v>56269.279999999999</v>
      </c>
      <c r="F127" s="324">
        <v>0</v>
      </c>
      <c r="H127" s="324">
        <v>0</v>
      </c>
      <c r="J127" s="324">
        <v>56269.279999999999</v>
      </c>
      <c r="K127" s="321">
        <f t="shared" si="1"/>
        <v>0</v>
      </c>
    </row>
    <row r="128" spans="1:11" ht="15.95" customHeight="1" x14ac:dyDescent="0.2">
      <c r="A128" s="323">
        <v>1210106</v>
      </c>
      <c r="B128" s="373" t="s">
        <v>264</v>
      </c>
      <c r="C128" s="374"/>
      <c r="D128" s="374"/>
      <c r="E128" s="324">
        <v>6425</v>
      </c>
      <c r="F128" s="324">
        <v>0</v>
      </c>
      <c r="H128" s="324">
        <v>0</v>
      </c>
      <c r="J128" s="324">
        <v>6425</v>
      </c>
      <c r="K128" s="321">
        <f t="shared" si="1"/>
        <v>0</v>
      </c>
    </row>
    <row r="129" spans="1:11" ht="15.95" customHeight="1" x14ac:dyDescent="0.2">
      <c r="A129" s="323" t="s">
        <v>1474</v>
      </c>
      <c r="B129" s="373" t="s">
        <v>1475</v>
      </c>
      <c r="C129" s="374"/>
      <c r="D129" s="374"/>
      <c r="E129" s="324">
        <v>6425</v>
      </c>
      <c r="F129" s="324">
        <v>0</v>
      </c>
      <c r="H129" s="324">
        <v>0</v>
      </c>
      <c r="J129" s="324">
        <v>6425</v>
      </c>
      <c r="K129" s="321">
        <f t="shared" si="1"/>
        <v>0</v>
      </c>
    </row>
    <row r="130" spans="1:11" ht="15.95" customHeight="1" x14ac:dyDescent="0.2">
      <c r="A130" s="325">
        <v>12102</v>
      </c>
      <c r="B130" s="375" t="s">
        <v>96</v>
      </c>
      <c r="C130" s="376"/>
      <c r="D130" s="376"/>
      <c r="E130" s="326">
        <v>73387.47</v>
      </c>
      <c r="F130" s="326">
        <v>0</v>
      </c>
      <c r="G130" s="327"/>
      <c r="H130" s="326">
        <v>0</v>
      </c>
      <c r="I130" s="327"/>
      <c r="J130" s="326">
        <v>73387.47</v>
      </c>
      <c r="K130" s="327">
        <f t="shared" si="1"/>
        <v>0</v>
      </c>
    </row>
    <row r="131" spans="1:11" ht="15.95" customHeight="1" x14ac:dyDescent="0.2">
      <c r="A131" s="323">
        <v>1210201</v>
      </c>
      <c r="B131" s="373" t="s">
        <v>97</v>
      </c>
      <c r="C131" s="374"/>
      <c r="D131" s="374"/>
      <c r="E131" s="324">
        <v>73387.47</v>
      </c>
      <c r="F131" s="324">
        <v>0</v>
      </c>
      <c r="H131" s="324">
        <v>0</v>
      </c>
      <c r="J131" s="324">
        <v>73387.47</v>
      </c>
      <c r="K131" s="321">
        <f t="shared" ref="K131:K194" si="2">J131-E131</f>
        <v>0</v>
      </c>
    </row>
    <row r="132" spans="1:11" ht="15.95" customHeight="1" x14ac:dyDescent="0.2">
      <c r="A132" s="323" t="s">
        <v>267</v>
      </c>
      <c r="B132" s="373" t="s">
        <v>102</v>
      </c>
      <c r="C132" s="374"/>
      <c r="D132" s="374"/>
      <c r="E132" s="324">
        <v>73387.47</v>
      </c>
      <c r="F132" s="324">
        <v>0</v>
      </c>
      <c r="H132" s="324">
        <v>0</v>
      </c>
      <c r="J132" s="324">
        <v>73387.47</v>
      </c>
      <c r="K132" s="321">
        <f t="shared" si="2"/>
        <v>0</v>
      </c>
    </row>
    <row r="133" spans="1:11" ht="15.95" customHeight="1" x14ac:dyDescent="0.2">
      <c r="A133" s="325">
        <v>122</v>
      </c>
      <c r="B133" s="375" t="s">
        <v>268</v>
      </c>
      <c r="C133" s="376"/>
      <c r="D133" s="376"/>
      <c r="E133" s="326">
        <v>12203.91</v>
      </c>
      <c r="F133" s="326">
        <v>0</v>
      </c>
      <c r="G133" s="327"/>
      <c r="H133" s="326">
        <v>0</v>
      </c>
      <c r="I133" s="327"/>
      <c r="J133" s="326">
        <v>12203.91</v>
      </c>
      <c r="K133" s="327">
        <f t="shared" si="2"/>
        <v>0</v>
      </c>
    </row>
    <row r="134" spans="1:11" ht="15.95" customHeight="1" x14ac:dyDescent="0.2">
      <c r="A134" s="323">
        <v>12201</v>
      </c>
      <c r="B134" s="373" t="s">
        <v>268</v>
      </c>
      <c r="C134" s="374"/>
      <c r="D134" s="374"/>
      <c r="E134" s="324">
        <v>12203.91</v>
      </c>
      <c r="F134" s="324">
        <v>0</v>
      </c>
      <c r="H134" s="324">
        <v>0</v>
      </c>
      <c r="J134" s="324">
        <v>12203.91</v>
      </c>
      <c r="K134" s="321">
        <f t="shared" si="2"/>
        <v>0</v>
      </c>
    </row>
    <row r="135" spans="1:11" ht="15.95" customHeight="1" x14ac:dyDescent="0.2">
      <c r="A135" s="323">
        <v>1220105</v>
      </c>
      <c r="B135" s="373" t="s">
        <v>269</v>
      </c>
      <c r="C135" s="374"/>
      <c r="D135" s="374"/>
      <c r="E135" s="324">
        <v>12203.91</v>
      </c>
      <c r="F135" s="324">
        <v>0</v>
      </c>
      <c r="H135" s="324">
        <v>0</v>
      </c>
      <c r="J135" s="324">
        <v>12203.91</v>
      </c>
      <c r="K135" s="321">
        <f t="shared" si="2"/>
        <v>0</v>
      </c>
    </row>
    <row r="136" spans="1:11" ht="15.95" customHeight="1" x14ac:dyDescent="0.2">
      <c r="A136" s="323" t="s">
        <v>270</v>
      </c>
      <c r="B136" s="373" t="s">
        <v>271</v>
      </c>
      <c r="C136" s="374"/>
      <c r="D136" s="374"/>
      <c r="E136" s="324">
        <v>4179.53</v>
      </c>
      <c r="F136" s="324">
        <v>0</v>
      </c>
      <c r="H136" s="324">
        <v>0</v>
      </c>
      <c r="J136" s="324">
        <v>4179.53</v>
      </c>
      <c r="K136" s="321">
        <f t="shared" si="2"/>
        <v>0</v>
      </c>
    </row>
    <row r="137" spans="1:11" ht="15.95" customHeight="1" x14ac:dyDescent="0.2">
      <c r="A137" s="323" t="s">
        <v>272</v>
      </c>
      <c r="B137" s="373" t="s">
        <v>273</v>
      </c>
      <c r="C137" s="374"/>
      <c r="D137" s="374"/>
      <c r="E137" s="324">
        <v>8024.38</v>
      </c>
      <c r="F137" s="324">
        <v>0</v>
      </c>
      <c r="H137" s="324">
        <v>0</v>
      </c>
      <c r="J137" s="324">
        <v>8024.38</v>
      </c>
      <c r="K137" s="321">
        <f t="shared" si="2"/>
        <v>0</v>
      </c>
    </row>
    <row r="138" spans="1:11" ht="15.95" customHeight="1" x14ac:dyDescent="0.2">
      <c r="A138" s="323">
        <v>123</v>
      </c>
      <c r="B138" s="373" t="s">
        <v>274</v>
      </c>
      <c r="C138" s="374"/>
      <c r="D138" s="374"/>
      <c r="E138" s="324">
        <v>308818291.05000001</v>
      </c>
      <c r="F138" s="324">
        <v>814048.45</v>
      </c>
      <c r="H138" s="324">
        <v>4540745.46</v>
      </c>
      <c r="J138" s="324">
        <v>305091594.04000002</v>
      </c>
      <c r="K138" s="321">
        <f t="shared" si="2"/>
        <v>-3726697.0099999905</v>
      </c>
    </row>
    <row r="139" spans="1:11" ht="15.95" customHeight="1" x14ac:dyDescent="0.2">
      <c r="A139" s="325">
        <v>12301</v>
      </c>
      <c r="B139" s="375" t="s">
        <v>274</v>
      </c>
      <c r="C139" s="376"/>
      <c r="D139" s="376"/>
      <c r="E139" s="326">
        <v>395062406.80000001</v>
      </c>
      <c r="F139" s="326">
        <v>591152.4</v>
      </c>
      <c r="G139" s="327"/>
      <c r="H139" s="326">
        <v>651268.6</v>
      </c>
      <c r="I139" s="327"/>
      <c r="J139" s="326">
        <v>395002290.60000002</v>
      </c>
      <c r="K139" s="327">
        <f t="shared" si="2"/>
        <v>-60116.199999988079</v>
      </c>
    </row>
    <row r="140" spans="1:11" ht="15.95" customHeight="1" x14ac:dyDescent="0.2">
      <c r="A140" s="323">
        <v>1230101</v>
      </c>
      <c r="B140" s="373" t="s">
        <v>275</v>
      </c>
      <c r="C140" s="374"/>
      <c r="D140" s="374"/>
      <c r="E140" s="324">
        <v>14974742.1</v>
      </c>
      <c r="F140" s="324">
        <v>591152.4</v>
      </c>
      <c r="H140" s="324">
        <v>0</v>
      </c>
      <c r="J140" s="324">
        <v>15565894.5</v>
      </c>
      <c r="K140" s="321">
        <f t="shared" si="2"/>
        <v>591152.40000000037</v>
      </c>
    </row>
    <row r="141" spans="1:11" ht="15.95" customHeight="1" x14ac:dyDescent="0.2">
      <c r="A141" s="323" t="s">
        <v>276</v>
      </c>
      <c r="B141" s="373" t="s">
        <v>277</v>
      </c>
      <c r="C141" s="374"/>
      <c r="D141" s="374"/>
      <c r="E141" s="324">
        <v>65660.77</v>
      </c>
      <c r="F141" s="324">
        <v>0</v>
      </c>
      <c r="H141" s="324">
        <v>0</v>
      </c>
      <c r="J141" s="324">
        <v>65660.77</v>
      </c>
      <c r="K141" s="321">
        <f t="shared" si="2"/>
        <v>0</v>
      </c>
    </row>
    <row r="142" spans="1:11" ht="15.95" customHeight="1" x14ac:dyDescent="0.2">
      <c r="A142" s="323" t="s">
        <v>278</v>
      </c>
      <c r="B142" s="373" t="s">
        <v>279</v>
      </c>
      <c r="C142" s="374"/>
      <c r="D142" s="374"/>
      <c r="E142" s="324">
        <v>12832.06</v>
      </c>
      <c r="F142" s="324">
        <v>0</v>
      </c>
      <c r="H142" s="324">
        <v>0</v>
      </c>
      <c r="J142" s="324">
        <v>12832.06</v>
      </c>
      <c r="K142" s="321">
        <f t="shared" si="2"/>
        <v>0</v>
      </c>
    </row>
    <row r="143" spans="1:11" ht="15.95" customHeight="1" x14ac:dyDescent="0.2">
      <c r="A143" s="323" t="s">
        <v>280</v>
      </c>
      <c r="B143" s="373" t="s">
        <v>281</v>
      </c>
      <c r="C143" s="374"/>
      <c r="D143" s="374"/>
      <c r="E143" s="324">
        <v>1204903.52</v>
      </c>
      <c r="F143" s="324">
        <v>0</v>
      </c>
      <c r="H143" s="324">
        <v>0</v>
      </c>
      <c r="J143" s="324">
        <v>1204903.52</v>
      </c>
      <c r="K143" s="321">
        <f t="shared" si="2"/>
        <v>0</v>
      </c>
    </row>
    <row r="144" spans="1:11" ht="15.95" customHeight="1" x14ac:dyDescent="0.2">
      <c r="A144" s="323" t="s">
        <v>282</v>
      </c>
      <c r="B144" s="373" t="s">
        <v>283</v>
      </c>
      <c r="C144" s="374"/>
      <c r="D144" s="374"/>
      <c r="E144" s="324">
        <v>9692277.8000000007</v>
      </c>
      <c r="F144" s="324">
        <v>0</v>
      </c>
      <c r="H144" s="324">
        <v>0</v>
      </c>
      <c r="J144" s="324">
        <v>9692277.8000000007</v>
      </c>
      <c r="K144" s="321">
        <f t="shared" si="2"/>
        <v>0</v>
      </c>
    </row>
    <row r="145" spans="1:11" ht="15.95" customHeight="1" x14ac:dyDescent="0.2">
      <c r="A145" s="323" t="s">
        <v>284</v>
      </c>
      <c r="B145" s="373" t="s">
        <v>285</v>
      </c>
      <c r="C145" s="374"/>
      <c r="D145" s="374"/>
      <c r="E145" s="324">
        <v>666682.91</v>
      </c>
      <c r="F145" s="324">
        <v>790</v>
      </c>
      <c r="H145" s="324">
        <v>0</v>
      </c>
      <c r="J145" s="324">
        <v>667472.91</v>
      </c>
      <c r="K145" s="321">
        <f t="shared" si="2"/>
        <v>790</v>
      </c>
    </row>
    <row r="146" spans="1:11" ht="15.95" customHeight="1" x14ac:dyDescent="0.2">
      <c r="A146" s="323" t="s">
        <v>286</v>
      </c>
      <c r="B146" s="373" t="s">
        <v>287</v>
      </c>
      <c r="C146" s="374"/>
      <c r="D146" s="374"/>
      <c r="E146" s="324">
        <v>1279140.06</v>
      </c>
      <c r="F146" s="324">
        <v>0</v>
      </c>
      <c r="H146" s="324">
        <v>0</v>
      </c>
      <c r="J146" s="324">
        <v>1279140.06</v>
      </c>
      <c r="K146" s="321">
        <f t="shared" si="2"/>
        <v>0</v>
      </c>
    </row>
    <row r="147" spans="1:11" ht="15.95" customHeight="1" x14ac:dyDescent="0.2">
      <c r="A147" s="323" t="s">
        <v>288</v>
      </c>
      <c r="B147" s="373" t="s">
        <v>289</v>
      </c>
      <c r="C147" s="374"/>
      <c r="D147" s="374"/>
      <c r="E147" s="324">
        <v>1259543.1399999999</v>
      </c>
      <c r="F147" s="324">
        <v>0</v>
      </c>
      <c r="H147" s="324">
        <v>0</v>
      </c>
      <c r="J147" s="324">
        <v>1259543.1399999999</v>
      </c>
      <c r="K147" s="321">
        <f t="shared" si="2"/>
        <v>0</v>
      </c>
    </row>
    <row r="148" spans="1:11" ht="15.95" customHeight="1" x14ac:dyDescent="0.2">
      <c r="A148" s="323" t="s">
        <v>290</v>
      </c>
      <c r="B148" s="373" t="s">
        <v>291</v>
      </c>
      <c r="C148" s="374"/>
      <c r="D148" s="374"/>
      <c r="E148" s="324">
        <v>778347.84</v>
      </c>
      <c r="F148" s="324">
        <v>0</v>
      </c>
      <c r="H148" s="324">
        <v>0</v>
      </c>
      <c r="J148" s="324">
        <v>778347.84</v>
      </c>
      <c r="K148" s="321">
        <f t="shared" si="2"/>
        <v>0</v>
      </c>
    </row>
    <row r="149" spans="1:11" ht="15.95" customHeight="1" x14ac:dyDescent="0.2">
      <c r="A149" s="323" t="s">
        <v>292</v>
      </c>
      <c r="B149" s="373" t="s">
        <v>293</v>
      </c>
      <c r="C149" s="374"/>
      <c r="D149" s="374"/>
      <c r="E149" s="324">
        <v>15354</v>
      </c>
      <c r="F149" s="324">
        <v>0</v>
      </c>
      <c r="H149" s="324">
        <v>0</v>
      </c>
      <c r="J149" s="324">
        <v>15354</v>
      </c>
      <c r="K149" s="321">
        <f t="shared" si="2"/>
        <v>0</v>
      </c>
    </row>
    <row r="150" spans="1:11" ht="15.95" customHeight="1" x14ac:dyDescent="0.2">
      <c r="A150" s="323" t="s">
        <v>294</v>
      </c>
      <c r="B150" s="373" t="s">
        <v>295</v>
      </c>
      <c r="C150" s="374"/>
      <c r="D150" s="374"/>
      <c r="E150" s="324">
        <v>0</v>
      </c>
      <c r="F150" s="324">
        <v>590362.4</v>
      </c>
      <c r="H150" s="324">
        <v>0</v>
      </c>
      <c r="J150" s="324">
        <v>590362.4</v>
      </c>
      <c r="K150" s="321">
        <f t="shared" si="2"/>
        <v>590362.4</v>
      </c>
    </row>
    <row r="151" spans="1:11" ht="15.95" customHeight="1" x14ac:dyDescent="0.2">
      <c r="A151" s="323">
        <v>1230102</v>
      </c>
      <c r="B151" s="373" t="s">
        <v>296</v>
      </c>
      <c r="C151" s="374"/>
      <c r="D151" s="374"/>
      <c r="E151" s="324">
        <v>144497427.28999999</v>
      </c>
      <c r="F151" s="324">
        <v>0</v>
      </c>
      <c r="H151" s="324">
        <v>0</v>
      </c>
      <c r="J151" s="324">
        <v>144497427.28999999</v>
      </c>
      <c r="K151" s="321">
        <f t="shared" si="2"/>
        <v>0</v>
      </c>
    </row>
    <row r="152" spans="1:11" ht="15.95" customHeight="1" x14ac:dyDescent="0.2">
      <c r="A152" s="323" t="s">
        <v>297</v>
      </c>
      <c r="B152" s="373" t="s">
        <v>298</v>
      </c>
      <c r="C152" s="374"/>
      <c r="D152" s="374"/>
      <c r="E152" s="324">
        <v>1770.62</v>
      </c>
      <c r="F152" s="324">
        <v>0</v>
      </c>
      <c r="H152" s="324">
        <v>0</v>
      </c>
      <c r="J152" s="324">
        <v>1770.62</v>
      </c>
      <c r="K152" s="321">
        <f t="shared" si="2"/>
        <v>0</v>
      </c>
    </row>
    <row r="153" spans="1:11" ht="15.95" customHeight="1" x14ac:dyDescent="0.2">
      <c r="A153" s="323" t="s">
        <v>299</v>
      </c>
      <c r="B153" s="373" t="s">
        <v>300</v>
      </c>
      <c r="C153" s="374"/>
      <c r="D153" s="374"/>
      <c r="E153" s="324">
        <v>14370221.73</v>
      </c>
      <c r="F153" s="324">
        <v>0</v>
      </c>
      <c r="H153" s="324">
        <v>0</v>
      </c>
      <c r="J153" s="324">
        <v>14370221.73</v>
      </c>
      <c r="K153" s="321">
        <f t="shared" si="2"/>
        <v>0</v>
      </c>
    </row>
    <row r="154" spans="1:11" ht="15.95" customHeight="1" x14ac:dyDescent="0.2">
      <c r="A154" s="323" t="s">
        <v>301</v>
      </c>
      <c r="B154" s="373" t="s">
        <v>302</v>
      </c>
      <c r="C154" s="374"/>
      <c r="D154" s="374"/>
      <c r="E154" s="324">
        <v>4450.58</v>
      </c>
      <c r="F154" s="324">
        <v>0</v>
      </c>
      <c r="H154" s="324">
        <v>0</v>
      </c>
      <c r="J154" s="324">
        <v>4450.58</v>
      </c>
      <c r="K154" s="321">
        <f t="shared" si="2"/>
        <v>0</v>
      </c>
    </row>
    <row r="155" spans="1:11" ht="15.95" customHeight="1" x14ac:dyDescent="0.2">
      <c r="A155" s="323" t="s">
        <v>303</v>
      </c>
      <c r="B155" s="373" t="s">
        <v>304</v>
      </c>
      <c r="C155" s="374"/>
      <c r="D155" s="374"/>
      <c r="E155" s="324">
        <v>24023782.789999999</v>
      </c>
      <c r="F155" s="324">
        <v>0</v>
      </c>
      <c r="H155" s="324">
        <v>0</v>
      </c>
      <c r="J155" s="324">
        <v>24023782.789999999</v>
      </c>
      <c r="K155" s="321">
        <f t="shared" si="2"/>
        <v>0</v>
      </c>
    </row>
    <row r="156" spans="1:11" ht="15.95" customHeight="1" x14ac:dyDescent="0.2">
      <c r="A156" s="323" t="s">
        <v>305</v>
      </c>
      <c r="B156" s="373" t="s">
        <v>306</v>
      </c>
      <c r="C156" s="374"/>
      <c r="D156" s="374"/>
      <c r="E156" s="324">
        <v>59975189.719999999</v>
      </c>
      <c r="F156" s="324">
        <v>0</v>
      </c>
      <c r="H156" s="324">
        <v>0</v>
      </c>
      <c r="J156" s="324">
        <v>59975189.719999999</v>
      </c>
      <c r="K156" s="321">
        <f t="shared" si="2"/>
        <v>0</v>
      </c>
    </row>
    <row r="157" spans="1:11" ht="15.95" customHeight="1" x14ac:dyDescent="0.2">
      <c r="A157" s="323" t="s">
        <v>307</v>
      </c>
      <c r="B157" s="373" t="s">
        <v>308</v>
      </c>
      <c r="C157" s="374"/>
      <c r="D157" s="374"/>
      <c r="E157" s="324">
        <v>16451422.199999999</v>
      </c>
      <c r="F157" s="324">
        <v>0</v>
      </c>
      <c r="H157" s="324">
        <v>0</v>
      </c>
      <c r="J157" s="324">
        <v>16451422.199999999</v>
      </c>
      <c r="K157" s="321">
        <f t="shared" si="2"/>
        <v>0</v>
      </c>
    </row>
    <row r="158" spans="1:11" ht="15.95" customHeight="1" x14ac:dyDescent="0.2">
      <c r="A158" s="323" t="s">
        <v>309</v>
      </c>
      <c r="B158" s="373" t="s">
        <v>310</v>
      </c>
      <c r="C158" s="374"/>
      <c r="D158" s="374"/>
      <c r="E158" s="324">
        <v>501889.3</v>
      </c>
      <c r="F158" s="324">
        <v>0</v>
      </c>
      <c r="H158" s="324">
        <v>0</v>
      </c>
      <c r="J158" s="324">
        <v>501889.3</v>
      </c>
      <c r="K158" s="321">
        <f t="shared" si="2"/>
        <v>0</v>
      </c>
    </row>
    <row r="159" spans="1:11" ht="15.95" customHeight="1" x14ac:dyDescent="0.2">
      <c r="A159" s="323" t="s">
        <v>311</v>
      </c>
      <c r="B159" s="373" t="s">
        <v>312</v>
      </c>
      <c r="C159" s="374"/>
      <c r="D159" s="374"/>
      <c r="E159" s="324">
        <v>95202.46</v>
      </c>
      <c r="F159" s="324">
        <v>0</v>
      </c>
      <c r="H159" s="324">
        <v>0</v>
      </c>
      <c r="J159" s="324">
        <v>95202.46</v>
      </c>
      <c r="K159" s="321">
        <f t="shared" si="2"/>
        <v>0</v>
      </c>
    </row>
    <row r="160" spans="1:11" ht="15.95" customHeight="1" x14ac:dyDescent="0.2">
      <c r="A160" s="323" t="s">
        <v>313</v>
      </c>
      <c r="B160" s="373" t="s">
        <v>314</v>
      </c>
      <c r="C160" s="374"/>
      <c r="D160" s="374"/>
      <c r="E160" s="324">
        <v>13925.73</v>
      </c>
      <c r="F160" s="324">
        <v>0</v>
      </c>
      <c r="H160" s="324">
        <v>0</v>
      </c>
      <c r="J160" s="324">
        <v>13925.73</v>
      </c>
      <c r="K160" s="321">
        <f t="shared" si="2"/>
        <v>0</v>
      </c>
    </row>
    <row r="161" spans="1:11" ht="15.95" customHeight="1" x14ac:dyDescent="0.2">
      <c r="A161" s="323" t="s">
        <v>315</v>
      </c>
      <c r="B161" s="373" t="s">
        <v>316</v>
      </c>
      <c r="C161" s="374"/>
      <c r="D161" s="374"/>
      <c r="E161" s="324">
        <v>12484345.49</v>
      </c>
      <c r="F161" s="324">
        <v>0</v>
      </c>
      <c r="H161" s="324">
        <v>0</v>
      </c>
      <c r="J161" s="324">
        <v>12484345.49</v>
      </c>
      <c r="K161" s="321">
        <f t="shared" si="2"/>
        <v>0</v>
      </c>
    </row>
    <row r="162" spans="1:11" ht="15.95" customHeight="1" x14ac:dyDescent="0.2">
      <c r="A162" s="323" t="s">
        <v>317</v>
      </c>
      <c r="B162" s="373" t="s">
        <v>318</v>
      </c>
      <c r="C162" s="374"/>
      <c r="D162" s="374"/>
      <c r="E162" s="324">
        <v>984332.14</v>
      </c>
      <c r="F162" s="324">
        <v>0</v>
      </c>
      <c r="H162" s="324">
        <v>0</v>
      </c>
      <c r="J162" s="324">
        <v>984332.14</v>
      </c>
      <c r="K162" s="321">
        <f t="shared" si="2"/>
        <v>0</v>
      </c>
    </row>
    <row r="163" spans="1:11" ht="27.95" customHeight="1" x14ac:dyDescent="0.2">
      <c r="A163" s="323" t="s">
        <v>319</v>
      </c>
      <c r="B163" s="373" t="s">
        <v>320</v>
      </c>
      <c r="C163" s="374"/>
      <c r="D163" s="374"/>
      <c r="E163" s="324">
        <v>600371.77</v>
      </c>
      <c r="F163" s="324">
        <v>0</v>
      </c>
      <c r="H163" s="324">
        <v>0</v>
      </c>
      <c r="J163" s="324">
        <v>600371.77</v>
      </c>
      <c r="K163" s="321">
        <f t="shared" si="2"/>
        <v>0</v>
      </c>
    </row>
    <row r="164" spans="1:11" ht="15.95" customHeight="1" x14ac:dyDescent="0.2">
      <c r="A164" s="323" t="s">
        <v>321</v>
      </c>
      <c r="B164" s="373" t="s">
        <v>322</v>
      </c>
      <c r="C164" s="374"/>
      <c r="D164" s="374"/>
      <c r="E164" s="324">
        <v>123943.43</v>
      </c>
      <c r="F164" s="324">
        <v>0</v>
      </c>
      <c r="H164" s="324">
        <v>0</v>
      </c>
      <c r="J164" s="324">
        <v>123943.43</v>
      </c>
      <c r="K164" s="321">
        <f t="shared" si="2"/>
        <v>0</v>
      </c>
    </row>
    <row r="165" spans="1:11" ht="15.95" customHeight="1" x14ac:dyDescent="0.2">
      <c r="A165" s="323" t="s">
        <v>323</v>
      </c>
      <c r="B165" s="373" t="s">
        <v>324</v>
      </c>
      <c r="C165" s="374"/>
      <c r="D165" s="374"/>
      <c r="E165" s="324">
        <v>149.38</v>
      </c>
      <c r="F165" s="324">
        <v>0</v>
      </c>
      <c r="H165" s="324">
        <v>0</v>
      </c>
      <c r="J165" s="324">
        <v>149.38</v>
      </c>
      <c r="K165" s="321">
        <f t="shared" si="2"/>
        <v>0</v>
      </c>
    </row>
    <row r="166" spans="1:11" ht="15.95" customHeight="1" x14ac:dyDescent="0.2">
      <c r="A166" s="323" t="s">
        <v>325</v>
      </c>
      <c r="B166" s="373" t="s">
        <v>326</v>
      </c>
      <c r="C166" s="374"/>
      <c r="D166" s="374"/>
      <c r="E166" s="324">
        <v>2942111.51</v>
      </c>
      <c r="F166" s="324">
        <v>0</v>
      </c>
      <c r="H166" s="324">
        <v>0</v>
      </c>
      <c r="J166" s="324">
        <v>2942111.51</v>
      </c>
      <c r="K166" s="321">
        <f t="shared" si="2"/>
        <v>0</v>
      </c>
    </row>
    <row r="167" spans="1:11" ht="15.95" customHeight="1" x14ac:dyDescent="0.2">
      <c r="A167" s="323" t="s">
        <v>327</v>
      </c>
      <c r="B167" s="373" t="s">
        <v>328</v>
      </c>
      <c r="C167" s="374"/>
      <c r="D167" s="374"/>
      <c r="E167" s="324">
        <v>1970.82</v>
      </c>
      <c r="F167" s="324">
        <v>0</v>
      </c>
      <c r="H167" s="324">
        <v>0</v>
      </c>
      <c r="J167" s="324">
        <v>1970.82</v>
      </c>
      <c r="K167" s="321">
        <f t="shared" si="2"/>
        <v>0</v>
      </c>
    </row>
    <row r="168" spans="1:11" ht="15.95" customHeight="1" x14ac:dyDescent="0.2">
      <c r="A168" s="323" t="s">
        <v>329</v>
      </c>
      <c r="B168" s="373" t="s">
        <v>330</v>
      </c>
      <c r="C168" s="374"/>
      <c r="D168" s="374"/>
      <c r="E168" s="324">
        <v>468475.02</v>
      </c>
      <c r="F168" s="324">
        <v>0</v>
      </c>
      <c r="H168" s="324">
        <v>0</v>
      </c>
      <c r="J168" s="324">
        <v>468475.02</v>
      </c>
      <c r="K168" s="321">
        <f t="shared" si="2"/>
        <v>0</v>
      </c>
    </row>
    <row r="169" spans="1:11" ht="15.95" customHeight="1" x14ac:dyDescent="0.2">
      <c r="A169" s="323" t="s">
        <v>331</v>
      </c>
      <c r="B169" s="373" t="s">
        <v>332</v>
      </c>
      <c r="C169" s="374"/>
      <c r="D169" s="374"/>
      <c r="E169" s="324">
        <v>7045901.6699999999</v>
      </c>
      <c r="F169" s="324">
        <v>0</v>
      </c>
      <c r="H169" s="324">
        <v>0</v>
      </c>
      <c r="J169" s="324">
        <v>7045901.6699999999</v>
      </c>
      <c r="K169" s="321">
        <f t="shared" si="2"/>
        <v>0</v>
      </c>
    </row>
    <row r="170" spans="1:11" ht="15.95" customHeight="1" x14ac:dyDescent="0.2">
      <c r="A170" s="323" t="s">
        <v>333</v>
      </c>
      <c r="B170" s="373" t="s">
        <v>334</v>
      </c>
      <c r="C170" s="374"/>
      <c r="D170" s="374"/>
      <c r="E170" s="324">
        <v>1224566.5900000001</v>
      </c>
      <c r="F170" s="324">
        <v>0</v>
      </c>
      <c r="H170" s="324">
        <v>0</v>
      </c>
      <c r="J170" s="324">
        <v>1224566.5900000001</v>
      </c>
      <c r="K170" s="321">
        <f t="shared" si="2"/>
        <v>0</v>
      </c>
    </row>
    <row r="171" spans="1:11" ht="15.95" customHeight="1" x14ac:dyDescent="0.2">
      <c r="A171" s="323" t="s">
        <v>335</v>
      </c>
      <c r="B171" s="373" t="s">
        <v>336</v>
      </c>
      <c r="C171" s="374"/>
      <c r="D171" s="374"/>
      <c r="E171" s="324">
        <v>2117236.1</v>
      </c>
      <c r="F171" s="324">
        <v>0</v>
      </c>
      <c r="H171" s="324">
        <v>0</v>
      </c>
      <c r="J171" s="324">
        <v>2117236.1</v>
      </c>
      <c r="K171" s="321">
        <f t="shared" si="2"/>
        <v>0</v>
      </c>
    </row>
    <row r="172" spans="1:11" ht="15.95" customHeight="1" x14ac:dyDescent="0.2">
      <c r="A172" s="323" t="s">
        <v>337</v>
      </c>
      <c r="B172" s="373" t="s">
        <v>338</v>
      </c>
      <c r="C172" s="374"/>
      <c r="D172" s="374"/>
      <c r="E172" s="324">
        <v>1066168.24</v>
      </c>
      <c r="F172" s="324">
        <v>0</v>
      </c>
      <c r="H172" s="324">
        <v>0</v>
      </c>
      <c r="J172" s="324">
        <v>1066168.24</v>
      </c>
      <c r="K172" s="321">
        <f t="shared" si="2"/>
        <v>0</v>
      </c>
    </row>
    <row r="173" spans="1:11" ht="15.95" customHeight="1" x14ac:dyDescent="0.2">
      <c r="A173" s="323">
        <v>1230103</v>
      </c>
      <c r="B173" s="373" t="s">
        <v>339</v>
      </c>
      <c r="C173" s="374"/>
      <c r="D173" s="374"/>
      <c r="E173" s="324">
        <v>1033494.29</v>
      </c>
      <c r="F173" s="324">
        <v>0</v>
      </c>
      <c r="H173" s="324">
        <v>651268.6</v>
      </c>
      <c r="J173" s="324">
        <v>382225.69</v>
      </c>
      <c r="K173" s="321">
        <f t="shared" si="2"/>
        <v>-651268.60000000009</v>
      </c>
    </row>
    <row r="174" spans="1:11" ht="15.95" customHeight="1" x14ac:dyDescent="0.2">
      <c r="A174" s="323" t="s">
        <v>340</v>
      </c>
      <c r="B174" s="373" t="s">
        <v>341</v>
      </c>
      <c r="C174" s="374"/>
      <c r="D174" s="374"/>
      <c r="E174" s="324">
        <v>382225.69</v>
      </c>
      <c r="F174" s="324">
        <v>0</v>
      </c>
      <c r="H174" s="324">
        <v>0</v>
      </c>
      <c r="J174" s="324">
        <v>382225.69</v>
      </c>
      <c r="K174" s="321">
        <f t="shared" si="2"/>
        <v>0</v>
      </c>
    </row>
    <row r="175" spans="1:11" ht="15.95" customHeight="1" x14ac:dyDescent="0.2">
      <c r="A175" s="323" t="s">
        <v>1486</v>
      </c>
      <c r="B175" s="373" t="s">
        <v>295</v>
      </c>
      <c r="C175" s="374"/>
      <c r="D175" s="374"/>
      <c r="E175" s="324">
        <v>651268.6</v>
      </c>
      <c r="F175" s="324">
        <v>0</v>
      </c>
      <c r="H175" s="324">
        <v>651268.6</v>
      </c>
      <c r="J175" s="324">
        <v>0</v>
      </c>
      <c r="K175" s="321">
        <f t="shared" si="2"/>
        <v>-651268.6</v>
      </c>
    </row>
    <row r="176" spans="1:11" ht="15.95" customHeight="1" x14ac:dyDescent="0.2">
      <c r="A176" s="323">
        <v>1230104</v>
      </c>
      <c r="B176" s="373" t="s">
        <v>342</v>
      </c>
      <c r="C176" s="374"/>
      <c r="D176" s="374"/>
      <c r="E176" s="324">
        <v>1626929.13</v>
      </c>
      <c r="F176" s="324">
        <v>0</v>
      </c>
      <c r="H176" s="324">
        <v>0</v>
      </c>
      <c r="J176" s="324">
        <v>1626929.13</v>
      </c>
      <c r="K176" s="321">
        <f t="shared" si="2"/>
        <v>0</v>
      </c>
    </row>
    <row r="177" spans="1:11" ht="15.95" customHeight="1" x14ac:dyDescent="0.2">
      <c r="A177" s="323" t="s">
        <v>343</v>
      </c>
      <c r="B177" s="373" t="s">
        <v>344</v>
      </c>
      <c r="C177" s="374"/>
      <c r="D177" s="374"/>
      <c r="E177" s="324">
        <v>527833.12</v>
      </c>
      <c r="F177" s="324">
        <v>0</v>
      </c>
      <c r="H177" s="324">
        <v>0</v>
      </c>
      <c r="J177" s="324">
        <v>527833.12</v>
      </c>
      <c r="K177" s="321">
        <f t="shared" si="2"/>
        <v>0</v>
      </c>
    </row>
    <row r="178" spans="1:11" ht="15.95" customHeight="1" x14ac:dyDescent="0.2">
      <c r="A178" s="323" t="s">
        <v>345</v>
      </c>
      <c r="B178" s="373" t="s">
        <v>346</v>
      </c>
      <c r="C178" s="374"/>
      <c r="D178" s="374"/>
      <c r="E178" s="324">
        <v>140000</v>
      </c>
      <c r="F178" s="324">
        <v>0</v>
      </c>
      <c r="H178" s="324">
        <v>0</v>
      </c>
      <c r="J178" s="324">
        <v>140000</v>
      </c>
      <c r="K178" s="321">
        <f t="shared" si="2"/>
        <v>0</v>
      </c>
    </row>
    <row r="179" spans="1:11" ht="15.95" customHeight="1" x14ac:dyDescent="0.2">
      <c r="A179" s="323" t="s">
        <v>347</v>
      </c>
      <c r="B179" s="373" t="s">
        <v>348</v>
      </c>
      <c r="C179" s="374"/>
      <c r="D179" s="374"/>
      <c r="E179" s="324">
        <v>959096.01</v>
      </c>
      <c r="F179" s="324">
        <v>0</v>
      </c>
      <c r="H179" s="324">
        <v>0</v>
      </c>
      <c r="J179" s="324">
        <v>959096.01</v>
      </c>
      <c r="K179" s="321">
        <f t="shared" si="2"/>
        <v>0</v>
      </c>
    </row>
    <row r="180" spans="1:11" ht="15.95" customHeight="1" x14ac:dyDescent="0.2">
      <c r="A180" s="323">
        <v>1230105</v>
      </c>
      <c r="B180" s="373" t="s">
        <v>349</v>
      </c>
      <c r="C180" s="374"/>
      <c r="D180" s="374"/>
      <c r="E180" s="324">
        <v>238454443.41</v>
      </c>
      <c r="F180" s="324">
        <v>0</v>
      </c>
      <c r="H180" s="324">
        <v>0</v>
      </c>
      <c r="J180" s="324">
        <v>238454443.41</v>
      </c>
      <c r="K180" s="321">
        <f t="shared" si="2"/>
        <v>0</v>
      </c>
    </row>
    <row r="181" spans="1:11" ht="15.95" customHeight="1" x14ac:dyDescent="0.2">
      <c r="A181" s="323" t="s">
        <v>350</v>
      </c>
      <c r="B181" s="373" t="s">
        <v>351</v>
      </c>
      <c r="C181" s="374"/>
      <c r="D181" s="374"/>
      <c r="E181" s="324">
        <v>231979697.44</v>
      </c>
      <c r="F181" s="324">
        <v>0</v>
      </c>
      <c r="H181" s="324">
        <v>0</v>
      </c>
      <c r="J181" s="324">
        <v>231979697.44</v>
      </c>
      <c r="K181" s="321">
        <f t="shared" si="2"/>
        <v>0</v>
      </c>
    </row>
    <row r="182" spans="1:11" ht="15.95" customHeight="1" x14ac:dyDescent="0.2">
      <c r="A182" s="323" t="s">
        <v>352</v>
      </c>
      <c r="B182" s="373" t="s">
        <v>353</v>
      </c>
      <c r="C182" s="374"/>
      <c r="D182" s="374"/>
      <c r="E182" s="324">
        <v>1093994.98</v>
      </c>
      <c r="F182" s="324">
        <v>0</v>
      </c>
      <c r="H182" s="324">
        <v>0</v>
      </c>
      <c r="J182" s="324">
        <v>1093994.98</v>
      </c>
      <c r="K182" s="321">
        <f t="shared" si="2"/>
        <v>0</v>
      </c>
    </row>
    <row r="183" spans="1:11" ht="15.95" customHeight="1" x14ac:dyDescent="0.2">
      <c r="A183" s="323" t="s">
        <v>354</v>
      </c>
      <c r="B183" s="373" t="s">
        <v>355</v>
      </c>
      <c r="C183" s="374"/>
      <c r="D183" s="374"/>
      <c r="E183" s="324">
        <v>3533050.99</v>
      </c>
      <c r="F183" s="324">
        <v>0</v>
      </c>
      <c r="H183" s="324">
        <v>0</v>
      </c>
      <c r="J183" s="324">
        <v>3533050.99</v>
      </c>
      <c r="K183" s="321">
        <f t="shared" si="2"/>
        <v>0</v>
      </c>
    </row>
    <row r="184" spans="1:11" ht="15.95" customHeight="1" x14ac:dyDescent="0.2">
      <c r="A184" s="323" t="s">
        <v>356</v>
      </c>
      <c r="B184" s="373" t="s">
        <v>357</v>
      </c>
      <c r="C184" s="374"/>
      <c r="D184" s="374"/>
      <c r="E184" s="324">
        <v>6700</v>
      </c>
      <c r="F184" s="324">
        <v>0</v>
      </c>
      <c r="H184" s="324">
        <v>0</v>
      </c>
      <c r="J184" s="324">
        <v>6700</v>
      </c>
      <c r="K184" s="321">
        <f t="shared" si="2"/>
        <v>0</v>
      </c>
    </row>
    <row r="185" spans="1:11" ht="15.95" customHeight="1" x14ac:dyDescent="0.2">
      <c r="A185" s="323" t="s">
        <v>358</v>
      </c>
      <c r="B185" s="373" t="s">
        <v>359</v>
      </c>
      <c r="C185" s="374"/>
      <c r="D185" s="374"/>
      <c r="E185" s="324">
        <v>1841000</v>
      </c>
      <c r="F185" s="324">
        <v>0</v>
      </c>
      <c r="H185" s="324">
        <v>0</v>
      </c>
      <c r="J185" s="324">
        <v>1841000</v>
      </c>
      <c r="K185" s="321">
        <f t="shared" si="2"/>
        <v>0</v>
      </c>
    </row>
    <row r="186" spans="1:11" ht="15.95" customHeight="1" x14ac:dyDescent="0.2">
      <c r="A186" s="323">
        <v>1230108</v>
      </c>
      <c r="B186" s="373" t="s">
        <v>360</v>
      </c>
      <c r="C186" s="374"/>
      <c r="D186" s="374"/>
      <c r="E186" s="324">
        <v>-5524629.4199999999</v>
      </c>
      <c r="F186" s="324">
        <v>0</v>
      </c>
      <c r="H186" s="324">
        <v>0</v>
      </c>
      <c r="J186" s="324">
        <v>-5524629.4199999999</v>
      </c>
      <c r="K186" s="321">
        <f t="shared" si="2"/>
        <v>0</v>
      </c>
    </row>
    <row r="187" spans="1:11" ht="15.95" customHeight="1" x14ac:dyDescent="0.2">
      <c r="A187" s="323" t="s">
        <v>361</v>
      </c>
      <c r="B187" s="373" t="s">
        <v>362</v>
      </c>
      <c r="C187" s="374"/>
      <c r="D187" s="374"/>
      <c r="E187" s="324">
        <v>-18424.2</v>
      </c>
      <c r="F187" s="324">
        <v>0</v>
      </c>
      <c r="H187" s="324">
        <v>0</v>
      </c>
      <c r="J187" s="324">
        <v>-18424.2</v>
      </c>
      <c r="K187" s="321">
        <f t="shared" si="2"/>
        <v>0</v>
      </c>
    </row>
    <row r="188" spans="1:11" ht="15.95" customHeight="1" x14ac:dyDescent="0.2">
      <c r="A188" s="323" t="s">
        <v>363</v>
      </c>
      <c r="B188" s="373" t="s">
        <v>364</v>
      </c>
      <c r="C188" s="374"/>
      <c r="D188" s="374"/>
      <c r="E188" s="324">
        <v>-170198.69</v>
      </c>
      <c r="F188" s="324">
        <v>0</v>
      </c>
      <c r="H188" s="324">
        <v>0</v>
      </c>
      <c r="J188" s="324">
        <v>-170198.69</v>
      </c>
      <c r="K188" s="321">
        <f t="shared" si="2"/>
        <v>0</v>
      </c>
    </row>
    <row r="189" spans="1:11" ht="15.95" customHeight="1" x14ac:dyDescent="0.2">
      <c r="A189" s="323" t="s">
        <v>365</v>
      </c>
      <c r="B189" s="373" t="s">
        <v>366</v>
      </c>
      <c r="C189" s="374"/>
      <c r="D189" s="374"/>
      <c r="E189" s="324">
        <v>-23611.29</v>
      </c>
      <c r="F189" s="324">
        <v>0</v>
      </c>
      <c r="H189" s="324">
        <v>0</v>
      </c>
      <c r="J189" s="324">
        <v>-23611.29</v>
      </c>
      <c r="K189" s="321">
        <f t="shared" si="2"/>
        <v>0</v>
      </c>
    </row>
    <row r="190" spans="1:11" ht="15.95" customHeight="1" x14ac:dyDescent="0.2">
      <c r="A190" s="323" t="s">
        <v>367</v>
      </c>
      <c r="B190" s="373" t="s">
        <v>368</v>
      </c>
      <c r="C190" s="374"/>
      <c r="D190" s="374"/>
      <c r="E190" s="324">
        <v>-8308.92</v>
      </c>
      <c r="F190" s="324">
        <v>0</v>
      </c>
      <c r="H190" s="324">
        <v>0</v>
      </c>
      <c r="J190" s="324">
        <v>-8308.92</v>
      </c>
      <c r="K190" s="321">
        <f t="shared" si="2"/>
        <v>0</v>
      </c>
    </row>
    <row r="191" spans="1:11" ht="15.95" customHeight="1" x14ac:dyDescent="0.2">
      <c r="A191" s="323" t="s">
        <v>369</v>
      </c>
      <c r="B191" s="373" t="s">
        <v>370</v>
      </c>
      <c r="C191" s="374"/>
      <c r="D191" s="374"/>
      <c r="E191" s="324">
        <v>-4233.8599999999997</v>
      </c>
      <c r="F191" s="324">
        <v>0</v>
      </c>
      <c r="H191" s="324">
        <v>0</v>
      </c>
      <c r="J191" s="324">
        <v>-4233.8599999999997</v>
      </c>
      <c r="K191" s="321">
        <f t="shared" si="2"/>
        <v>0</v>
      </c>
    </row>
    <row r="192" spans="1:11" ht="15.95" customHeight="1" x14ac:dyDescent="0.2">
      <c r="A192" s="323" t="s">
        <v>371</v>
      </c>
      <c r="B192" s="373" t="s">
        <v>372</v>
      </c>
      <c r="C192" s="374"/>
      <c r="D192" s="374"/>
      <c r="E192" s="324">
        <v>-2729.37</v>
      </c>
      <c r="F192" s="324">
        <v>0</v>
      </c>
      <c r="H192" s="324">
        <v>0</v>
      </c>
      <c r="J192" s="324">
        <v>-2729.37</v>
      </c>
      <c r="K192" s="321">
        <f t="shared" si="2"/>
        <v>0</v>
      </c>
    </row>
    <row r="193" spans="1:11" ht="15.95" customHeight="1" x14ac:dyDescent="0.2">
      <c r="A193" s="323" t="s">
        <v>373</v>
      </c>
      <c r="B193" s="373" t="s">
        <v>374</v>
      </c>
      <c r="C193" s="374"/>
      <c r="D193" s="374"/>
      <c r="E193" s="324">
        <v>-1353787.09</v>
      </c>
      <c r="F193" s="324">
        <v>0</v>
      </c>
      <c r="H193" s="324">
        <v>0</v>
      </c>
      <c r="J193" s="324">
        <v>-1353787.09</v>
      </c>
      <c r="K193" s="321">
        <f t="shared" si="2"/>
        <v>0</v>
      </c>
    </row>
    <row r="194" spans="1:11" ht="15.95" customHeight="1" x14ac:dyDescent="0.2">
      <c r="A194" s="323" t="s">
        <v>375</v>
      </c>
      <c r="B194" s="373" t="s">
        <v>376</v>
      </c>
      <c r="C194" s="374"/>
      <c r="D194" s="374"/>
      <c r="E194" s="324">
        <v>-12754.35</v>
      </c>
      <c r="F194" s="324">
        <v>0</v>
      </c>
      <c r="H194" s="324">
        <v>0</v>
      </c>
      <c r="J194" s="324">
        <v>-12754.35</v>
      </c>
      <c r="K194" s="321">
        <f t="shared" si="2"/>
        <v>0</v>
      </c>
    </row>
    <row r="195" spans="1:11" ht="15.95" customHeight="1" x14ac:dyDescent="0.2">
      <c r="A195" s="323" t="s">
        <v>377</v>
      </c>
      <c r="B195" s="373" t="s">
        <v>378</v>
      </c>
      <c r="C195" s="374"/>
      <c r="D195" s="374"/>
      <c r="E195" s="324">
        <v>-1798587.79</v>
      </c>
      <c r="F195" s="324">
        <v>0</v>
      </c>
      <c r="H195" s="324">
        <v>0</v>
      </c>
      <c r="J195" s="324">
        <v>-1798587.79</v>
      </c>
      <c r="K195" s="321">
        <f t="shared" ref="K195:K258" si="3">J195-E195</f>
        <v>0</v>
      </c>
    </row>
    <row r="196" spans="1:11" ht="15.95" customHeight="1" x14ac:dyDescent="0.2">
      <c r="A196" s="323" t="s">
        <v>379</v>
      </c>
      <c r="B196" s="373" t="s">
        <v>380</v>
      </c>
      <c r="C196" s="374"/>
      <c r="D196" s="374"/>
      <c r="E196" s="324">
        <v>-7928.64</v>
      </c>
      <c r="F196" s="324">
        <v>0</v>
      </c>
      <c r="H196" s="324">
        <v>0</v>
      </c>
      <c r="J196" s="324">
        <v>-7928.64</v>
      </c>
      <c r="K196" s="321">
        <f t="shared" si="3"/>
        <v>0</v>
      </c>
    </row>
    <row r="197" spans="1:11" ht="15.95" customHeight="1" x14ac:dyDescent="0.2">
      <c r="A197" s="323" t="s">
        <v>381</v>
      </c>
      <c r="B197" s="373" t="s">
        <v>382</v>
      </c>
      <c r="C197" s="374"/>
      <c r="D197" s="374"/>
      <c r="E197" s="324">
        <v>-265.91000000000003</v>
      </c>
      <c r="F197" s="324">
        <v>0</v>
      </c>
      <c r="H197" s="324">
        <v>0</v>
      </c>
      <c r="J197" s="324">
        <v>-265.91000000000003</v>
      </c>
      <c r="K197" s="321">
        <f t="shared" si="3"/>
        <v>0</v>
      </c>
    </row>
    <row r="198" spans="1:11" ht="15.95" customHeight="1" x14ac:dyDescent="0.2">
      <c r="A198" s="323" t="s">
        <v>383</v>
      </c>
      <c r="B198" s="373" t="s">
        <v>384</v>
      </c>
      <c r="C198" s="374"/>
      <c r="D198" s="374"/>
      <c r="E198" s="324">
        <v>-87964.72</v>
      </c>
      <c r="F198" s="324">
        <v>0</v>
      </c>
      <c r="H198" s="324">
        <v>0</v>
      </c>
      <c r="J198" s="324">
        <v>-87964.72</v>
      </c>
      <c r="K198" s="321">
        <f t="shared" si="3"/>
        <v>0</v>
      </c>
    </row>
    <row r="199" spans="1:11" ht="15.95" customHeight="1" x14ac:dyDescent="0.2">
      <c r="A199" s="323" t="s">
        <v>385</v>
      </c>
      <c r="B199" s="373" t="s">
        <v>386</v>
      </c>
      <c r="C199" s="374"/>
      <c r="D199" s="374"/>
      <c r="E199" s="324">
        <v>-1308138.05</v>
      </c>
      <c r="F199" s="324">
        <v>0</v>
      </c>
      <c r="H199" s="324">
        <v>0</v>
      </c>
      <c r="J199" s="324">
        <v>-1308138.05</v>
      </c>
      <c r="K199" s="321">
        <f t="shared" si="3"/>
        <v>0</v>
      </c>
    </row>
    <row r="200" spans="1:11" ht="15.95" customHeight="1" x14ac:dyDescent="0.2">
      <c r="A200" s="323" t="s">
        <v>387</v>
      </c>
      <c r="B200" s="373" t="s">
        <v>388</v>
      </c>
      <c r="C200" s="374"/>
      <c r="D200" s="374"/>
      <c r="E200" s="324">
        <v>-5840.17</v>
      </c>
      <c r="F200" s="324">
        <v>0</v>
      </c>
      <c r="H200" s="324">
        <v>0</v>
      </c>
      <c r="J200" s="324">
        <v>-5840.17</v>
      </c>
      <c r="K200" s="321">
        <f t="shared" si="3"/>
        <v>0</v>
      </c>
    </row>
    <row r="201" spans="1:11" ht="15.95" customHeight="1" x14ac:dyDescent="0.2">
      <c r="A201" s="323" t="s">
        <v>389</v>
      </c>
      <c r="B201" s="373" t="s">
        <v>390</v>
      </c>
      <c r="C201" s="374"/>
      <c r="D201" s="374"/>
      <c r="E201" s="324">
        <v>-385902.97</v>
      </c>
      <c r="F201" s="324">
        <v>0</v>
      </c>
      <c r="H201" s="324">
        <v>0</v>
      </c>
      <c r="J201" s="324">
        <v>-385902.97</v>
      </c>
      <c r="K201" s="321">
        <f t="shared" si="3"/>
        <v>0</v>
      </c>
    </row>
    <row r="202" spans="1:11" ht="15.95" customHeight="1" x14ac:dyDescent="0.2">
      <c r="A202" s="323" t="s">
        <v>391</v>
      </c>
      <c r="B202" s="373" t="s">
        <v>392</v>
      </c>
      <c r="C202" s="374"/>
      <c r="D202" s="374"/>
      <c r="E202" s="324">
        <v>-17386.990000000002</v>
      </c>
      <c r="F202" s="324">
        <v>0</v>
      </c>
      <c r="H202" s="324">
        <v>0</v>
      </c>
      <c r="J202" s="324">
        <v>-17386.990000000002</v>
      </c>
      <c r="K202" s="321">
        <f t="shared" si="3"/>
        <v>0</v>
      </c>
    </row>
    <row r="203" spans="1:11" ht="15.95" customHeight="1" x14ac:dyDescent="0.2">
      <c r="A203" s="323" t="s">
        <v>393</v>
      </c>
      <c r="B203" s="373" t="s">
        <v>394</v>
      </c>
      <c r="C203" s="374"/>
      <c r="D203" s="374"/>
      <c r="E203" s="324">
        <v>-56188.26</v>
      </c>
      <c r="F203" s="324">
        <v>0</v>
      </c>
      <c r="H203" s="324">
        <v>0</v>
      </c>
      <c r="J203" s="324">
        <v>-56188.26</v>
      </c>
      <c r="K203" s="321">
        <f t="shared" si="3"/>
        <v>0</v>
      </c>
    </row>
    <row r="204" spans="1:11" ht="15.95" customHeight="1" x14ac:dyDescent="0.2">
      <c r="A204" s="323" t="s">
        <v>395</v>
      </c>
      <c r="B204" s="373" t="s">
        <v>396</v>
      </c>
      <c r="C204" s="374"/>
      <c r="D204" s="374"/>
      <c r="E204" s="324">
        <v>-29270.35</v>
      </c>
      <c r="F204" s="324">
        <v>0</v>
      </c>
      <c r="H204" s="324">
        <v>0</v>
      </c>
      <c r="J204" s="324">
        <v>-29270.35</v>
      </c>
      <c r="K204" s="321">
        <f t="shared" si="3"/>
        <v>0</v>
      </c>
    </row>
    <row r="205" spans="1:11" ht="15.95" customHeight="1" x14ac:dyDescent="0.2">
      <c r="A205" s="323" t="s">
        <v>397</v>
      </c>
      <c r="B205" s="373" t="s">
        <v>398</v>
      </c>
      <c r="C205" s="374"/>
      <c r="D205" s="374"/>
      <c r="E205" s="324">
        <v>-233107.8</v>
      </c>
      <c r="F205" s="324">
        <v>0</v>
      </c>
      <c r="H205" s="324">
        <v>0</v>
      </c>
      <c r="J205" s="324">
        <v>-233107.8</v>
      </c>
      <c r="K205" s="321">
        <f t="shared" si="3"/>
        <v>0</v>
      </c>
    </row>
    <row r="206" spans="1:11" ht="15.95" customHeight="1" x14ac:dyDescent="0.2">
      <c r="A206" s="323">
        <v>12399</v>
      </c>
      <c r="B206" s="373" t="s">
        <v>399</v>
      </c>
      <c r="C206" s="374"/>
      <c r="D206" s="374"/>
      <c r="E206" s="324">
        <v>-86244115.75</v>
      </c>
      <c r="F206" s="324">
        <v>222896.05</v>
      </c>
      <c r="H206" s="324">
        <v>3889476.86</v>
      </c>
      <c r="J206" s="324">
        <v>-89910696.560000002</v>
      </c>
      <c r="K206" s="321">
        <f t="shared" si="3"/>
        <v>-3666580.8100000024</v>
      </c>
    </row>
    <row r="207" spans="1:11" ht="15.95" customHeight="1" x14ac:dyDescent="0.2">
      <c r="A207" s="323">
        <v>1239901</v>
      </c>
      <c r="B207" s="373" t="s">
        <v>400</v>
      </c>
      <c r="C207" s="374"/>
      <c r="D207" s="374"/>
      <c r="E207" s="324">
        <v>-6141666.2599999998</v>
      </c>
      <c r="F207" s="324">
        <v>0</v>
      </c>
      <c r="H207" s="324">
        <v>317874.62</v>
      </c>
      <c r="J207" s="324">
        <v>-6459540.8799999999</v>
      </c>
      <c r="K207" s="321">
        <f t="shared" si="3"/>
        <v>-317874.62000000011</v>
      </c>
    </row>
    <row r="208" spans="1:11" ht="15.95" customHeight="1" x14ac:dyDescent="0.2">
      <c r="A208" s="323" t="s">
        <v>401</v>
      </c>
      <c r="B208" s="373" t="s">
        <v>277</v>
      </c>
      <c r="C208" s="374"/>
      <c r="D208" s="374"/>
      <c r="E208" s="324">
        <v>-63482.19</v>
      </c>
      <c r="F208" s="324">
        <v>0</v>
      </c>
      <c r="H208" s="324">
        <v>138.6</v>
      </c>
      <c r="J208" s="324">
        <v>-63620.79</v>
      </c>
      <c r="K208" s="321">
        <f t="shared" si="3"/>
        <v>-138.59999999999854</v>
      </c>
    </row>
    <row r="209" spans="1:11" ht="15.95" customHeight="1" x14ac:dyDescent="0.2">
      <c r="A209" s="323" t="s">
        <v>402</v>
      </c>
      <c r="B209" s="373" t="s">
        <v>279</v>
      </c>
      <c r="C209" s="374"/>
      <c r="D209" s="374"/>
      <c r="E209" s="324">
        <v>-12832.06</v>
      </c>
      <c r="F209" s="324">
        <v>0</v>
      </c>
      <c r="H209" s="324">
        <v>0</v>
      </c>
      <c r="J209" s="324">
        <v>-12832.06</v>
      </c>
      <c r="K209" s="321">
        <f t="shared" si="3"/>
        <v>0</v>
      </c>
    </row>
    <row r="210" spans="1:11" ht="15.95" customHeight="1" x14ac:dyDescent="0.2">
      <c r="A210" s="323" t="s">
        <v>403</v>
      </c>
      <c r="B210" s="373" t="s">
        <v>281</v>
      </c>
      <c r="C210" s="374"/>
      <c r="D210" s="374"/>
      <c r="E210" s="324">
        <v>-991229.82</v>
      </c>
      <c r="F210" s="324">
        <v>0</v>
      </c>
      <c r="H210" s="324">
        <v>29137.439999999999</v>
      </c>
      <c r="J210" s="324">
        <v>-1020367.26</v>
      </c>
      <c r="K210" s="321">
        <f t="shared" si="3"/>
        <v>-29137.440000000061</v>
      </c>
    </row>
    <row r="211" spans="1:11" ht="15.95" customHeight="1" x14ac:dyDescent="0.2">
      <c r="A211" s="323" t="s">
        <v>404</v>
      </c>
      <c r="B211" s="373" t="s">
        <v>283</v>
      </c>
      <c r="C211" s="374"/>
      <c r="D211" s="374"/>
      <c r="E211" s="324">
        <v>-2517886.17</v>
      </c>
      <c r="F211" s="324">
        <v>0</v>
      </c>
      <c r="H211" s="324">
        <v>242218.26</v>
      </c>
      <c r="J211" s="324">
        <v>-2760104.43</v>
      </c>
      <c r="K211" s="321">
        <f t="shared" si="3"/>
        <v>-242218.26000000024</v>
      </c>
    </row>
    <row r="212" spans="1:11" ht="15.95" customHeight="1" x14ac:dyDescent="0.2">
      <c r="A212" s="323" t="s">
        <v>405</v>
      </c>
      <c r="B212" s="373" t="s">
        <v>285</v>
      </c>
      <c r="C212" s="374"/>
      <c r="D212" s="374"/>
      <c r="E212" s="324">
        <v>-610043.36</v>
      </c>
      <c r="F212" s="324">
        <v>0</v>
      </c>
      <c r="H212" s="324">
        <v>4470.46</v>
      </c>
      <c r="J212" s="324">
        <v>-614513.81999999995</v>
      </c>
      <c r="K212" s="321">
        <f t="shared" si="3"/>
        <v>-4470.4599999999627</v>
      </c>
    </row>
    <row r="213" spans="1:11" ht="15.95" customHeight="1" x14ac:dyDescent="0.2">
      <c r="A213" s="323" t="s">
        <v>406</v>
      </c>
      <c r="B213" s="373" t="s">
        <v>289</v>
      </c>
      <c r="C213" s="374"/>
      <c r="D213" s="374"/>
      <c r="E213" s="324">
        <v>-1219663.5</v>
      </c>
      <c r="F213" s="324">
        <v>0</v>
      </c>
      <c r="H213" s="324">
        <v>4784.1899999999996</v>
      </c>
      <c r="J213" s="324">
        <v>-1224447.69</v>
      </c>
      <c r="K213" s="321">
        <f t="shared" si="3"/>
        <v>-4784.1899999999441</v>
      </c>
    </row>
    <row r="214" spans="1:11" ht="15.95" customHeight="1" x14ac:dyDescent="0.2">
      <c r="A214" s="323" t="s">
        <v>407</v>
      </c>
      <c r="B214" s="373" t="s">
        <v>287</v>
      </c>
      <c r="C214" s="374"/>
      <c r="D214" s="374"/>
      <c r="E214" s="324">
        <v>-70806.36</v>
      </c>
      <c r="F214" s="324">
        <v>0</v>
      </c>
      <c r="H214" s="324">
        <v>2690.1</v>
      </c>
      <c r="J214" s="324">
        <v>-73496.460000000006</v>
      </c>
      <c r="K214" s="321">
        <f t="shared" si="3"/>
        <v>-2690.1000000000058</v>
      </c>
    </row>
    <row r="215" spans="1:11" ht="15.95" customHeight="1" x14ac:dyDescent="0.2">
      <c r="A215" s="323" t="s">
        <v>408</v>
      </c>
      <c r="B215" s="373" t="s">
        <v>291</v>
      </c>
      <c r="C215" s="374"/>
      <c r="D215" s="374"/>
      <c r="E215" s="324">
        <v>-645547.43999999994</v>
      </c>
      <c r="F215" s="324">
        <v>0</v>
      </c>
      <c r="H215" s="324">
        <v>14459.58</v>
      </c>
      <c r="J215" s="324">
        <v>-660007.02</v>
      </c>
      <c r="K215" s="321">
        <f t="shared" si="3"/>
        <v>-14459.580000000075</v>
      </c>
    </row>
    <row r="216" spans="1:11" ht="15.95" customHeight="1" x14ac:dyDescent="0.2">
      <c r="A216" s="323" t="s">
        <v>409</v>
      </c>
      <c r="B216" s="373" t="s">
        <v>410</v>
      </c>
      <c r="C216" s="374"/>
      <c r="D216" s="374"/>
      <c r="E216" s="324">
        <v>-10175.36</v>
      </c>
      <c r="F216" s="324">
        <v>0</v>
      </c>
      <c r="H216" s="324">
        <v>297.45</v>
      </c>
      <c r="J216" s="324">
        <v>-10472.81</v>
      </c>
      <c r="K216" s="321">
        <f t="shared" si="3"/>
        <v>-297.44999999999891</v>
      </c>
    </row>
    <row r="217" spans="1:11" ht="27.95" customHeight="1" x14ac:dyDescent="0.2">
      <c r="A217" s="323" t="s">
        <v>411</v>
      </c>
      <c r="B217" s="373" t="s">
        <v>295</v>
      </c>
      <c r="C217" s="374"/>
      <c r="D217" s="374"/>
      <c r="E217" s="324">
        <v>0</v>
      </c>
      <c r="F217" s="324">
        <v>0</v>
      </c>
      <c r="H217" s="324">
        <v>19678.54</v>
      </c>
      <c r="J217" s="324">
        <v>-19678.54</v>
      </c>
      <c r="K217" s="321">
        <f t="shared" si="3"/>
        <v>-19678.54</v>
      </c>
    </row>
    <row r="218" spans="1:11" ht="15.95" customHeight="1" x14ac:dyDescent="0.2">
      <c r="A218" s="323">
        <v>1239902</v>
      </c>
      <c r="B218" s="373" t="s">
        <v>412</v>
      </c>
      <c r="C218" s="374"/>
      <c r="D218" s="374"/>
      <c r="E218" s="324">
        <v>-60612378</v>
      </c>
      <c r="F218" s="324">
        <v>0</v>
      </c>
      <c r="H218" s="324">
        <v>1089770.22</v>
      </c>
      <c r="J218" s="324">
        <v>-61702148.219999999</v>
      </c>
      <c r="K218" s="321">
        <f t="shared" si="3"/>
        <v>-1089770.2199999988</v>
      </c>
    </row>
    <row r="219" spans="1:11" ht="15.95" customHeight="1" x14ac:dyDescent="0.2">
      <c r="A219" s="323" t="s">
        <v>413</v>
      </c>
      <c r="B219" s="373" t="s">
        <v>300</v>
      </c>
      <c r="C219" s="374"/>
      <c r="D219" s="374"/>
      <c r="E219" s="324">
        <v>-6612512.9100000001</v>
      </c>
      <c r="F219" s="324">
        <v>0</v>
      </c>
      <c r="H219" s="324">
        <v>115748.4</v>
      </c>
      <c r="J219" s="324">
        <v>-6728261.3099999996</v>
      </c>
      <c r="K219" s="321">
        <f t="shared" si="3"/>
        <v>-115748.39999999944</v>
      </c>
    </row>
    <row r="220" spans="1:11" ht="15.95" customHeight="1" x14ac:dyDescent="0.2">
      <c r="A220" s="323" t="s">
        <v>414</v>
      </c>
      <c r="B220" s="373" t="s">
        <v>302</v>
      </c>
      <c r="C220" s="374"/>
      <c r="D220" s="374"/>
      <c r="E220" s="324">
        <v>-4450.58</v>
      </c>
      <c r="F220" s="324">
        <v>0</v>
      </c>
      <c r="H220" s="324">
        <v>0</v>
      </c>
      <c r="J220" s="324">
        <v>-4450.58</v>
      </c>
      <c r="K220" s="321">
        <f t="shared" si="3"/>
        <v>0</v>
      </c>
    </row>
    <row r="221" spans="1:11" ht="15.95" customHeight="1" x14ac:dyDescent="0.2">
      <c r="A221" s="323" t="s">
        <v>415</v>
      </c>
      <c r="B221" s="373" t="s">
        <v>304</v>
      </c>
      <c r="C221" s="374"/>
      <c r="D221" s="374"/>
      <c r="E221" s="324">
        <v>-494704.74</v>
      </c>
      <c r="F221" s="324">
        <v>0</v>
      </c>
      <c r="H221" s="324">
        <v>193675.14</v>
      </c>
      <c r="J221" s="324">
        <v>-688379.88</v>
      </c>
      <c r="K221" s="321">
        <f t="shared" si="3"/>
        <v>-193675.14</v>
      </c>
    </row>
    <row r="222" spans="1:11" ht="15.95" customHeight="1" x14ac:dyDescent="0.2">
      <c r="A222" s="323" t="s">
        <v>416</v>
      </c>
      <c r="B222" s="373" t="s">
        <v>306</v>
      </c>
      <c r="C222" s="374"/>
      <c r="D222" s="374"/>
      <c r="E222" s="324">
        <v>-33813776.82</v>
      </c>
      <c r="F222" s="324">
        <v>0</v>
      </c>
      <c r="H222" s="324">
        <v>374013.25</v>
      </c>
      <c r="J222" s="324">
        <v>-34187790.07</v>
      </c>
      <c r="K222" s="321">
        <f t="shared" si="3"/>
        <v>-374013.25</v>
      </c>
    </row>
    <row r="223" spans="1:11" ht="15.95" customHeight="1" x14ac:dyDescent="0.2">
      <c r="A223" s="323" t="s">
        <v>417</v>
      </c>
      <c r="B223" s="373" t="s">
        <v>308</v>
      </c>
      <c r="C223" s="374"/>
      <c r="D223" s="374"/>
      <c r="E223" s="324">
        <v>-9608548.1699999999</v>
      </c>
      <c r="F223" s="324">
        <v>0</v>
      </c>
      <c r="H223" s="324">
        <v>172509.42</v>
      </c>
      <c r="J223" s="324">
        <v>-9781057.5899999999</v>
      </c>
      <c r="K223" s="321">
        <f t="shared" si="3"/>
        <v>-172509.41999999993</v>
      </c>
    </row>
    <row r="224" spans="1:11" ht="15.95" customHeight="1" x14ac:dyDescent="0.2">
      <c r="A224" s="323" t="s">
        <v>418</v>
      </c>
      <c r="B224" s="373" t="s">
        <v>310</v>
      </c>
      <c r="C224" s="374"/>
      <c r="D224" s="374"/>
      <c r="E224" s="324">
        <v>-451592.78</v>
      </c>
      <c r="F224" s="324">
        <v>0</v>
      </c>
      <c r="H224" s="324">
        <v>5501.49</v>
      </c>
      <c r="J224" s="324">
        <v>-457094.27</v>
      </c>
      <c r="K224" s="321">
        <f t="shared" si="3"/>
        <v>-5501.4899999999907</v>
      </c>
    </row>
    <row r="225" spans="1:11" ht="15.95" customHeight="1" x14ac:dyDescent="0.2">
      <c r="A225" s="323" t="s">
        <v>419</v>
      </c>
      <c r="B225" s="373" t="s">
        <v>312</v>
      </c>
      <c r="C225" s="374"/>
      <c r="D225" s="374"/>
      <c r="E225" s="324">
        <v>-95202.46</v>
      </c>
      <c r="F225" s="324">
        <v>0</v>
      </c>
      <c r="H225" s="324">
        <v>0</v>
      </c>
      <c r="J225" s="324">
        <v>-95202.46</v>
      </c>
      <c r="K225" s="321">
        <f t="shared" si="3"/>
        <v>0</v>
      </c>
    </row>
    <row r="226" spans="1:11" ht="15.95" customHeight="1" x14ac:dyDescent="0.2">
      <c r="A226" s="323" t="s">
        <v>420</v>
      </c>
      <c r="B226" s="373" t="s">
        <v>316</v>
      </c>
      <c r="C226" s="374"/>
      <c r="D226" s="374"/>
      <c r="E226" s="324">
        <v>-5564865.1200000001</v>
      </c>
      <c r="F226" s="324">
        <v>0</v>
      </c>
      <c r="H226" s="324">
        <v>104871.42</v>
      </c>
      <c r="J226" s="324">
        <v>-5669736.54</v>
      </c>
      <c r="K226" s="321">
        <f t="shared" si="3"/>
        <v>-104871.41999999993</v>
      </c>
    </row>
    <row r="227" spans="1:11" ht="15.95" customHeight="1" x14ac:dyDescent="0.2">
      <c r="A227" s="323" t="s">
        <v>421</v>
      </c>
      <c r="B227" s="373" t="s">
        <v>318</v>
      </c>
      <c r="C227" s="374"/>
      <c r="D227" s="374"/>
      <c r="E227" s="324">
        <v>-905338.24</v>
      </c>
      <c r="F227" s="324">
        <v>0</v>
      </c>
      <c r="H227" s="324">
        <v>0</v>
      </c>
      <c r="J227" s="324">
        <v>-905338.24</v>
      </c>
      <c r="K227" s="321">
        <f t="shared" si="3"/>
        <v>0</v>
      </c>
    </row>
    <row r="228" spans="1:11" ht="15.95" customHeight="1" x14ac:dyDescent="0.2">
      <c r="A228" s="323" t="s">
        <v>422</v>
      </c>
      <c r="B228" s="373" t="s">
        <v>320</v>
      </c>
      <c r="C228" s="374"/>
      <c r="D228" s="374"/>
      <c r="E228" s="324">
        <v>-374988.45</v>
      </c>
      <c r="F228" s="324">
        <v>0</v>
      </c>
      <c r="H228" s="324">
        <v>12068.93</v>
      </c>
      <c r="J228" s="324">
        <v>-387057.38</v>
      </c>
      <c r="K228" s="321">
        <f t="shared" si="3"/>
        <v>-12068.929999999993</v>
      </c>
    </row>
    <row r="229" spans="1:11" ht="15.95" customHeight="1" x14ac:dyDescent="0.2">
      <c r="A229" s="323" t="s">
        <v>423</v>
      </c>
      <c r="B229" s="373" t="s">
        <v>322</v>
      </c>
      <c r="C229" s="374"/>
      <c r="D229" s="374"/>
      <c r="E229" s="324">
        <v>-123943.43</v>
      </c>
      <c r="F229" s="324">
        <v>0</v>
      </c>
      <c r="H229" s="324">
        <v>0</v>
      </c>
      <c r="J229" s="324">
        <v>-123943.43</v>
      </c>
      <c r="K229" s="321">
        <f t="shared" si="3"/>
        <v>0</v>
      </c>
    </row>
    <row r="230" spans="1:11" ht="15.95" customHeight="1" x14ac:dyDescent="0.2">
      <c r="A230" s="323" t="s">
        <v>424</v>
      </c>
      <c r="B230" s="373" t="s">
        <v>425</v>
      </c>
      <c r="C230" s="374"/>
      <c r="D230" s="374"/>
      <c r="E230" s="324">
        <v>-13925.73</v>
      </c>
      <c r="F230" s="324">
        <v>0</v>
      </c>
      <c r="H230" s="324">
        <v>0</v>
      </c>
      <c r="J230" s="324">
        <v>-13925.73</v>
      </c>
      <c r="K230" s="321">
        <f t="shared" si="3"/>
        <v>0</v>
      </c>
    </row>
    <row r="231" spans="1:11" ht="15.95" customHeight="1" x14ac:dyDescent="0.2">
      <c r="A231" s="323" t="s">
        <v>426</v>
      </c>
      <c r="B231" s="373" t="s">
        <v>427</v>
      </c>
      <c r="C231" s="374"/>
      <c r="D231" s="374"/>
      <c r="E231" s="324">
        <v>-1970.82</v>
      </c>
      <c r="F231" s="324">
        <v>0</v>
      </c>
      <c r="H231" s="324">
        <v>0</v>
      </c>
      <c r="J231" s="324">
        <v>-1970.82</v>
      </c>
      <c r="K231" s="321">
        <f t="shared" si="3"/>
        <v>0</v>
      </c>
    </row>
    <row r="232" spans="1:11" ht="15.95" customHeight="1" x14ac:dyDescent="0.2">
      <c r="A232" s="323" t="s">
        <v>428</v>
      </c>
      <c r="B232" s="373" t="s">
        <v>429</v>
      </c>
      <c r="C232" s="374"/>
      <c r="D232" s="374"/>
      <c r="E232" s="324">
        <v>-442535.69</v>
      </c>
      <c r="F232" s="324">
        <v>0</v>
      </c>
      <c r="H232" s="324">
        <v>10517.52</v>
      </c>
      <c r="J232" s="324">
        <v>-453053.21</v>
      </c>
      <c r="K232" s="321">
        <f t="shared" si="3"/>
        <v>-10517.520000000019</v>
      </c>
    </row>
    <row r="233" spans="1:11" ht="15.95" customHeight="1" x14ac:dyDescent="0.2">
      <c r="A233" s="323" t="s">
        <v>430</v>
      </c>
      <c r="B233" s="373" t="s">
        <v>431</v>
      </c>
      <c r="C233" s="374"/>
      <c r="D233" s="374"/>
      <c r="E233" s="324">
        <v>-1122488.3799999999</v>
      </c>
      <c r="F233" s="324">
        <v>0</v>
      </c>
      <c r="H233" s="324">
        <v>8541.9</v>
      </c>
      <c r="J233" s="324">
        <v>-1131030.28</v>
      </c>
      <c r="K233" s="321">
        <f t="shared" si="3"/>
        <v>-8541.9000000001397</v>
      </c>
    </row>
    <row r="234" spans="1:11" ht="15.95" customHeight="1" x14ac:dyDescent="0.2">
      <c r="A234" s="323" t="s">
        <v>432</v>
      </c>
      <c r="B234" s="373" t="s">
        <v>336</v>
      </c>
      <c r="C234" s="374"/>
      <c r="D234" s="374"/>
      <c r="E234" s="324">
        <v>-963764.23</v>
      </c>
      <c r="F234" s="324">
        <v>0</v>
      </c>
      <c r="H234" s="324">
        <v>39014.400000000001</v>
      </c>
      <c r="J234" s="324">
        <v>-1002778.63</v>
      </c>
      <c r="K234" s="321">
        <f t="shared" si="3"/>
        <v>-39014.400000000023</v>
      </c>
    </row>
    <row r="235" spans="1:11" ht="15.95" customHeight="1" x14ac:dyDescent="0.2">
      <c r="A235" s="323" t="s">
        <v>433</v>
      </c>
      <c r="B235" s="373" t="s">
        <v>338</v>
      </c>
      <c r="C235" s="374"/>
      <c r="D235" s="374"/>
      <c r="E235" s="324">
        <v>-17769.45</v>
      </c>
      <c r="F235" s="324">
        <v>0</v>
      </c>
      <c r="H235" s="324">
        <v>53308.35</v>
      </c>
      <c r="J235" s="324">
        <v>-71077.8</v>
      </c>
      <c r="K235" s="321">
        <f t="shared" si="3"/>
        <v>-53308.350000000006</v>
      </c>
    </row>
    <row r="236" spans="1:11" ht="15.95" customHeight="1" x14ac:dyDescent="0.2">
      <c r="A236" s="323">
        <v>1239903</v>
      </c>
      <c r="B236" s="373" t="s">
        <v>434</v>
      </c>
      <c r="C236" s="374"/>
      <c r="D236" s="374"/>
      <c r="E236" s="324">
        <v>6148664.29</v>
      </c>
      <c r="F236" s="324">
        <v>222896.05</v>
      </c>
      <c r="H236" s="324">
        <v>0</v>
      </c>
      <c r="J236" s="324">
        <v>6371560.3399999999</v>
      </c>
      <c r="K236" s="321">
        <f t="shared" si="3"/>
        <v>222896.04999999981</v>
      </c>
    </row>
    <row r="237" spans="1:11" ht="15.95" customHeight="1" x14ac:dyDescent="0.2">
      <c r="A237" s="323" t="s">
        <v>435</v>
      </c>
      <c r="B237" s="373" t="s">
        <v>300</v>
      </c>
      <c r="C237" s="374"/>
      <c r="D237" s="374"/>
      <c r="E237" s="324">
        <v>1488272.16</v>
      </c>
      <c r="F237" s="324">
        <v>55752.72</v>
      </c>
      <c r="H237" s="324">
        <v>0</v>
      </c>
      <c r="J237" s="324">
        <v>1544024.88</v>
      </c>
      <c r="K237" s="321">
        <f t="shared" si="3"/>
        <v>55752.719999999972</v>
      </c>
    </row>
    <row r="238" spans="1:11" ht="15.95" customHeight="1" x14ac:dyDescent="0.2">
      <c r="A238" s="323" t="s">
        <v>436</v>
      </c>
      <c r="B238" s="373" t="s">
        <v>304</v>
      </c>
      <c r="C238" s="374"/>
      <c r="D238" s="374"/>
      <c r="E238" s="324">
        <v>125865.5</v>
      </c>
      <c r="F238" s="324">
        <v>43526.49</v>
      </c>
      <c r="H238" s="324">
        <v>0</v>
      </c>
      <c r="J238" s="324">
        <v>169391.99</v>
      </c>
      <c r="K238" s="321">
        <f t="shared" si="3"/>
        <v>43526.489999999991</v>
      </c>
    </row>
    <row r="239" spans="1:11" ht="15.95" customHeight="1" x14ac:dyDescent="0.2">
      <c r="A239" s="323" t="s">
        <v>437</v>
      </c>
      <c r="B239" s="373" t="s">
        <v>306</v>
      </c>
      <c r="C239" s="374"/>
      <c r="D239" s="374"/>
      <c r="E239" s="324">
        <v>4518876.1399999997</v>
      </c>
      <c r="F239" s="324">
        <v>123616.84</v>
      </c>
      <c r="H239" s="324">
        <v>0</v>
      </c>
      <c r="J239" s="324">
        <v>4642492.9800000004</v>
      </c>
      <c r="K239" s="321">
        <f t="shared" si="3"/>
        <v>123616.84000000078</v>
      </c>
    </row>
    <row r="240" spans="1:11" ht="15.95" customHeight="1" x14ac:dyDescent="0.2">
      <c r="A240" s="323" t="s">
        <v>438</v>
      </c>
      <c r="B240" s="373" t="s">
        <v>318</v>
      </c>
      <c r="C240" s="374"/>
      <c r="D240" s="374"/>
      <c r="E240" s="324">
        <v>15650.49</v>
      </c>
      <c r="F240" s="324">
        <v>0</v>
      </c>
      <c r="H240" s="324">
        <v>0</v>
      </c>
      <c r="J240" s="324">
        <v>15650.49</v>
      </c>
      <c r="K240" s="321">
        <f t="shared" si="3"/>
        <v>0</v>
      </c>
    </row>
    <row r="241" spans="1:11" ht="15.95" customHeight="1" x14ac:dyDescent="0.2">
      <c r="A241" s="323">
        <v>1239904</v>
      </c>
      <c r="B241" s="373" t="s">
        <v>439</v>
      </c>
      <c r="C241" s="374"/>
      <c r="D241" s="374"/>
      <c r="E241" s="324">
        <v>-25638735.780000001</v>
      </c>
      <c r="F241" s="324">
        <v>0</v>
      </c>
      <c r="H241" s="324">
        <v>2481832.02</v>
      </c>
      <c r="J241" s="324">
        <v>-28120567.800000001</v>
      </c>
      <c r="K241" s="321">
        <f t="shared" si="3"/>
        <v>-2481832.0199999996</v>
      </c>
    </row>
    <row r="242" spans="1:11" ht="15.95" customHeight="1" x14ac:dyDescent="0.2">
      <c r="A242" s="323" t="s">
        <v>440</v>
      </c>
      <c r="B242" s="373" t="s">
        <v>441</v>
      </c>
      <c r="C242" s="374"/>
      <c r="D242" s="374"/>
      <c r="E242" s="324">
        <v>-23964374.010000002</v>
      </c>
      <c r="F242" s="324">
        <v>0</v>
      </c>
      <c r="H242" s="324">
        <v>2319797.0099999998</v>
      </c>
      <c r="J242" s="324">
        <v>-26284171.02</v>
      </c>
      <c r="K242" s="321">
        <f t="shared" si="3"/>
        <v>-2319797.0099999979</v>
      </c>
    </row>
    <row r="243" spans="1:11" ht="15.95" customHeight="1" x14ac:dyDescent="0.2">
      <c r="A243" s="323" t="s">
        <v>442</v>
      </c>
      <c r="B243" s="373" t="s">
        <v>443</v>
      </c>
      <c r="C243" s="374"/>
      <c r="D243" s="374"/>
      <c r="E243" s="324">
        <v>-282611.5</v>
      </c>
      <c r="F243" s="324">
        <v>0</v>
      </c>
      <c r="H243" s="324">
        <v>27349.5</v>
      </c>
      <c r="J243" s="324">
        <v>-309961</v>
      </c>
      <c r="K243" s="321">
        <f t="shared" si="3"/>
        <v>-27349.5</v>
      </c>
    </row>
    <row r="244" spans="1:11" ht="15.95" customHeight="1" x14ac:dyDescent="0.2">
      <c r="A244" s="323" t="s">
        <v>444</v>
      </c>
      <c r="B244" s="373" t="s">
        <v>355</v>
      </c>
      <c r="C244" s="374"/>
      <c r="D244" s="374"/>
      <c r="E244" s="324">
        <v>-912706.03</v>
      </c>
      <c r="F244" s="324">
        <v>0</v>
      </c>
      <c r="H244" s="324">
        <v>88326.39</v>
      </c>
      <c r="J244" s="324">
        <v>-1001032.42</v>
      </c>
      <c r="K244" s="321">
        <f t="shared" si="3"/>
        <v>-88326.390000000014</v>
      </c>
    </row>
    <row r="245" spans="1:11" ht="15.95" customHeight="1" x14ac:dyDescent="0.2">
      <c r="A245" s="323" t="s">
        <v>445</v>
      </c>
      <c r="B245" s="373" t="s">
        <v>357</v>
      </c>
      <c r="C245" s="374"/>
      <c r="D245" s="374"/>
      <c r="E245" s="324">
        <v>-3456.5</v>
      </c>
      <c r="F245" s="324">
        <v>0</v>
      </c>
      <c r="H245" s="324">
        <v>334.5</v>
      </c>
      <c r="J245" s="324">
        <v>-3791</v>
      </c>
      <c r="K245" s="321">
        <f t="shared" si="3"/>
        <v>-334.5</v>
      </c>
    </row>
    <row r="246" spans="1:11" ht="15.95" customHeight="1" x14ac:dyDescent="0.2">
      <c r="A246" s="323" t="s">
        <v>446</v>
      </c>
      <c r="B246" s="373" t="s">
        <v>447</v>
      </c>
      <c r="C246" s="374"/>
      <c r="D246" s="374"/>
      <c r="E246" s="324">
        <v>-475587.74</v>
      </c>
      <c r="F246" s="324">
        <v>0</v>
      </c>
      <c r="H246" s="324">
        <v>46024.62</v>
      </c>
      <c r="J246" s="324">
        <v>-521612.36</v>
      </c>
      <c r="K246" s="321">
        <f t="shared" si="3"/>
        <v>-46024.619999999995</v>
      </c>
    </row>
    <row r="247" spans="1:11" ht="15.95" customHeight="1" x14ac:dyDescent="0.2">
      <c r="A247" s="323">
        <v>124</v>
      </c>
      <c r="B247" s="373" t="s">
        <v>448</v>
      </c>
      <c r="C247" s="374"/>
      <c r="D247" s="374"/>
      <c r="E247" s="324">
        <v>1561702.15</v>
      </c>
      <c r="F247" s="324">
        <v>60906.2</v>
      </c>
      <c r="H247" s="324">
        <v>339703.92</v>
      </c>
      <c r="J247" s="324">
        <v>1282904.43</v>
      </c>
      <c r="K247" s="321">
        <f t="shared" si="3"/>
        <v>-278797.71999999997</v>
      </c>
    </row>
    <row r="248" spans="1:11" ht="15.95" customHeight="1" x14ac:dyDescent="0.2">
      <c r="A248" s="325">
        <v>12401</v>
      </c>
      <c r="B248" s="375" t="s">
        <v>448</v>
      </c>
      <c r="C248" s="376"/>
      <c r="D248" s="376"/>
      <c r="E248" s="326">
        <v>7519654.9800000004</v>
      </c>
      <c r="F248" s="326">
        <v>60906.2</v>
      </c>
      <c r="G248" s="327"/>
      <c r="H248" s="326">
        <v>0</v>
      </c>
      <c r="I248" s="327"/>
      <c r="J248" s="326">
        <v>7580561.1799999997</v>
      </c>
      <c r="K248" s="327">
        <f t="shared" si="3"/>
        <v>60906.199999999255</v>
      </c>
    </row>
    <row r="249" spans="1:11" ht="15.95" customHeight="1" x14ac:dyDescent="0.2">
      <c r="A249" s="323">
        <v>1240101</v>
      </c>
      <c r="B249" s="373" t="s">
        <v>448</v>
      </c>
      <c r="C249" s="374"/>
      <c r="D249" s="374"/>
      <c r="E249" s="324">
        <v>7519654.9800000004</v>
      </c>
      <c r="F249" s="324">
        <v>60906.2</v>
      </c>
      <c r="H249" s="324">
        <v>0</v>
      </c>
      <c r="J249" s="324">
        <v>7580561.1799999997</v>
      </c>
      <c r="K249" s="321">
        <f t="shared" si="3"/>
        <v>60906.199999999255</v>
      </c>
    </row>
    <row r="250" spans="1:11" ht="15.95" customHeight="1" x14ac:dyDescent="0.2">
      <c r="A250" s="323" t="s">
        <v>449</v>
      </c>
      <c r="B250" s="373" t="s">
        <v>450</v>
      </c>
      <c r="C250" s="374"/>
      <c r="D250" s="374"/>
      <c r="E250" s="324">
        <v>7519654.9800000004</v>
      </c>
      <c r="F250" s="324">
        <v>60906.2</v>
      </c>
      <c r="H250" s="324">
        <v>0</v>
      </c>
      <c r="J250" s="324">
        <v>7580561.1799999997</v>
      </c>
      <c r="K250" s="321">
        <f t="shared" si="3"/>
        <v>60906.199999999255</v>
      </c>
    </row>
    <row r="251" spans="1:11" ht="15.95" customHeight="1" x14ac:dyDescent="0.2">
      <c r="A251" s="323">
        <v>12499</v>
      </c>
      <c r="B251" s="373" t="s">
        <v>451</v>
      </c>
      <c r="C251" s="374"/>
      <c r="D251" s="374"/>
      <c r="E251" s="324">
        <v>-5957952.8300000001</v>
      </c>
      <c r="F251" s="324">
        <v>0</v>
      </c>
      <c r="H251" s="324">
        <v>339703.92</v>
      </c>
      <c r="J251" s="324">
        <v>-6297656.75</v>
      </c>
      <c r="K251" s="321">
        <f t="shared" si="3"/>
        <v>-339703.91999999993</v>
      </c>
    </row>
    <row r="252" spans="1:11" ht="15.95" customHeight="1" x14ac:dyDescent="0.2">
      <c r="A252" s="323">
        <v>1249901</v>
      </c>
      <c r="B252" s="373" t="s">
        <v>451</v>
      </c>
      <c r="C252" s="374"/>
      <c r="D252" s="374"/>
      <c r="E252" s="324">
        <v>-5956423.5499999998</v>
      </c>
      <c r="F252" s="324">
        <v>0</v>
      </c>
      <c r="H252" s="324">
        <v>339703.92</v>
      </c>
      <c r="J252" s="324">
        <v>-6296127.4699999997</v>
      </c>
      <c r="K252" s="321">
        <f t="shared" si="3"/>
        <v>-339703.91999999993</v>
      </c>
    </row>
    <row r="253" spans="1:11" ht="15.95" customHeight="1" x14ac:dyDescent="0.2">
      <c r="A253" s="323" t="s">
        <v>452</v>
      </c>
      <c r="B253" s="373" t="s">
        <v>450</v>
      </c>
      <c r="C253" s="374"/>
      <c r="D253" s="374"/>
      <c r="E253" s="324">
        <v>-5956423.5499999998</v>
      </c>
      <c r="F253" s="324">
        <v>0</v>
      </c>
      <c r="H253" s="324">
        <v>339703.92</v>
      </c>
      <c r="J253" s="324">
        <v>-6296127.4699999997</v>
      </c>
      <c r="K253" s="321">
        <f t="shared" si="3"/>
        <v>-339703.91999999993</v>
      </c>
    </row>
    <row r="254" spans="1:11" ht="15.95" customHeight="1" x14ac:dyDescent="0.2">
      <c r="A254" s="323">
        <v>1249902</v>
      </c>
      <c r="B254" s="373" t="s">
        <v>453</v>
      </c>
      <c r="C254" s="374"/>
      <c r="D254" s="374"/>
      <c r="E254" s="324">
        <v>-1529.28</v>
      </c>
      <c r="F254" s="324">
        <v>0</v>
      </c>
      <c r="H254" s="324">
        <v>0</v>
      </c>
      <c r="J254" s="324">
        <v>-1529.28</v>
      </c>
      <c r="K254" s="321">
        <f t="shared" si="3"/>
        <v>0</v>
      </c>
    </row>
    <row r="255" spans="1:11" ht="15.95" customHeight="1" x14ac:dyDescent="0.2">
      <c r="A255" s="323" t="s">
        <v>454</v>
      </c>
      <c r="B255" s="373" t="s">
        <v>453</v>
      </c>
      <c r="C255" s="374"/>
      <c r="D255" s="374"/>
      <c r="E255" s="324">
        <v>-1529.28</v>
      </c>
      <c r="F255" s="324">
        <v>0</v>
      </c>
      <c r="H255" s="324">
        <v>0</v>
      </c>
      <c r="J255" s="324">
        <v>-1529.28</v>
      </c>
      <c r="K255" s="321">
        <f t="shared" si="3"/>
        <v>0</v>
      </c>
    </row>
    <row r="256" spans="1:11" ht="15.95" customHeight="1" x14ac:dyDescent="0.2">
      <c r="A256" s="323">
        <v>13</v>
      </c>
      <c r="B256" s="373" t="s">
        <v>455</v>
      </c>
      <c r="C256" s="374"/>
      <c r="D256" s="374"/>
      <c r="E256" s="324">
        <v>1236717.49</v>
      </c>
      <c r="F256" s="324">
        <v>0</v>
      </c>
      <c r="H256" s="324">
        <v>0</v>
      </c>
      <c r="J256" s="324">
        <v>1236717.49</v>
      </c>
      <c r="K256" s="321">
        <f t="shared" si="3"/>
        <v>0</v>
      </c>
    </row>
    <row r="257" spans="1:11" ht="15.95" customHeight="1" x14ac:dyDescent="0.2">
      <c r="A257" s="323">
        <v>131</v>
      </c>
      <c r="B257" s="373" t="s">
        <v>456</v>
      </c>
      <c r="C257" s="374"/>
      <c r="D257" s="374"/>
      <c r="E257" s="324">
        <v>1236717.49</v>
      </c>
      <c r="F257" s="324">
        <v>0</v>
      </c>
      <c r="H257" s="324">
        <v>0</v>
      </c>
      <c r="J257" s="324">
        <v>1236717.49</v>
      </c>
      <c r="K257" s="321">
        <f t="shared" si="3"/>
        <v>0</v>
      </c>
    </row>
    <row r="258" spans="1:11" ht="15.95" customHeight="1" x14ac:dyDescent="0.2">
      <c r="A258" s="323">
        <v>13101</v>
      </c>
      <c r="B258" s="373" t="s">
        <v>344</v>
      </c>
      <c r="C258" s="374"/>
      <c r="D258" s="374"/>
      <c r="E258" s="324">
        <v>1236717.49</v>
      </c>
      <c r="F258" s="324">
        <v>0</v>
      </c>
      <c r="H258" s="324">
        <v>0</v>
      </c>
      <c r="J258" s="324">
        <v>1236717.49</v>
      </c>
      <c r="K258" s="321">
        <f t="shared" si="3"/>
        <v>0</v>
      </c>
    </row>
    <row r="259" spans="1:11" ht="15.95" customHeight="1" x14ac:dyDescent="0.2">
      <c r="A259" s="323">
        <v>1310101</v>
      </c>
      <c r="B259" s="373" t="s">
        <v>457</v>
      </c>
      <c r="C259" s="374"/>
      <c r="D259" s="374"/>
      <c r="E259" s="324">
        <v>1236717.49</v>
      </c>
      <c r="F259" s="324">
        <v>0</v>
      </c>
      <c r="H259" s="324">
        <v>0</v>
      </c>
      <c r="J259" s="324">
        <v>1236717.49</v>
      </c>
      <c r="K259" s="321">
        <f t="shared" ref="K259:K322" si="4">J259-E259</f>
        <v>0</v>
      </c>
    </row>
    <row r="260" spans="1:11" ht="15.95" customHeight="1" x14ac:dyDescent="0.2">
      <c r="A260" s="323" t="s">
        <v>458</v>
      </c>
      <c r="B260" s="373" t="s">
        <v>459</v>
      </c>
      <c r="C260" s="374"/>
      <c r="D260" s="374"/>
      <c r="E260" s="324">
        <v>1236717.49</v>
      </c>
      <c r="F260" s="324">
        <v>0</v>
      </c>
      <c r="H260" s="324">
        <v>0</v>
      </c>
      <c r="J260" s="324">
        <v>1236717.49</v>
      </c>
      <c r="K260" s="321">
        <f t="shared" si="4"/>
        <v>0</v>
      </c>
    </row>
    <row r="261" spans="1:11" ht="15.95" customHeight="1" x14ac:dyDescent="0.2">
      <c r="A261" s="323">
        <v>2</v>
      </c>
      <c r="B261" s="373" t="s">
        <v>460</v>
      </c>
      <c r="C261" s="374"/>
      <c r="D261" s="374"/>
      <c r="E261" s="324">
        <v>-320811775.47000003</v>
      </c>
      <c r="F261" s="324">
        <v>28406862.010000002</v>
      </c>
      <c r="H261" s="324">
        <v>23271416.510000002</v>
      </c>
      <c r="J261" s="324">
        <v>-315676329.97000003</v>
      </c>
      <c r="K261" s="321">
        <f t="shared" si="4"/>
        <v>5135445.5</v>
      </c>
    </row>
    <row r="262" spans="1:11" ht="15.95" customHeight="1" x14ac:dyDescent="0.2">
      <c r="A262" s="323">
        <v>21</v>
      </c>
      <c r="B262" s="373" t="s">
        <v>461</v>
      </c>
      <c r="C262" s="374"/>
      <c r="D262" s="374"/>
      <c r="E262" s="324">
        <v>-15029595.98</v>
      </c>
      <c r="F262" s="324">
        <v>19742049.420000002</v>
      </c>
      <c r="H262" s="324">
        <v>19426189.030000001</v>
      </c>
      <c r="J262" s="324">
        <v>-14713735.59</v>
      </c>
      <c r="K262" s="321">
        <f t="shared" si="4"/>
        <v>315860.3900000006</v>
      </c>
    </row>
    <row r="263" spans="1:11" ht="15.95" customHeight="1" x14ac:dyDescent="0.2">
      <c r="A263" s="323">
        <v>211</v>
      </c>
      <c r="B263" s="373" t="s">
        <v>462</v>
      </c>
      <c r="C263" s="374"/>
      <c r="D263" s="374"/>
      <c r="E263" s="324">
        <v>-2542211.2599999998</v>
      </c>
      <c r="F263" s="324">
        <v>8327345.3600000003</v>
      </c>
      <c r="H263" s="324">
        <v>7126603.3600000003</v>
      </c>
      <c r="J263" s="324">
        <v>-1341469.26</v>
      </c>
      <c r="K263" s="321">
        <f t="shared" si="4"/>
        <v>1200741.9999999998</v>
      </c>
    </row>
    <row r="264" spans="1:11" ht="15.95" customHeight="1" x14ac:dyDescent="0.2">
      <c r="A264" s="325">
        <v>21101</v>
      </c>
      <c r="B264" s="375" t="s">
        <v>462</v>
      </c>
      <c r="C264" s="376"/>
      <c r="D264" s="376"/>
      <c r="E264" s="326">
        <v>-2542211.2599999998</v>
      </c>
      <c r="F264" s="326">
        <v>8327345.3600000003</v>
      </c>
      <c r="G264" s="327"/>
      <c r="H264" s="326">
        <v>7126603.3600000003</v>
      </c>
      <c r="I264" s="327"/>
      <c r="J264" s="326">
        <v>-1341469.26</v>
      </c>
      <c r="K264" s="327">
        <f t="shared" si="4"/>
        <v>1200741.9999999998</v>
      </c>
    </row>
    <row r="265" spans="1:11" ht="15.95" customHeight="1" x14ac:dyDescent="0.2">
      <c r="A265" s="323">
        <v>2110101</v>
      </c>
      <c r="B265" s="373" t="s">
        <v>463</v>
      </c>
      <c r="C265" s="374"/>
      <c r="D265" s="374"/>
      <c r="E265" s="324">
        <v>-2161277.48</v>
      </c>
      <c r="F265" s="324">
        <v>7223879.8499999996</v>
      </c>
      <c r="H265" s="324">
        <v>6400278.4699999997</v>
      </c>
      <c r="J265" s="324">
        <v>-1337676.1000000001</v>
      </c>
      <c r="K265" s="321">
        <f t="shared" si="4"/>
        <v>823601.37999999989</v>
      </c>
    </row>
    <row r="266" spans="1:11" ht="15.95" customHeight="1" x14ac:dyDescent="0.2">
      <c r="A266" s="323" t="s">
        <v>464</v>
      </c>
      <c r="B266" s="373" t="s">
        <v>465</v>
      </c>
      <c r="C266" s="374"/>
      <c r="D266" s="374"/>
      <c r="E266" s="324">
        <v>-171444.32</v>
      </c>
      <c r="F266" s="324">
        <v>368770.75</v>
      </c>
      <c r="H266" s="324">
        <v>299124.88</v>
      </c>
      <c r="J266" s="324">
        <v>-101798.45</v>
      </c>
      <c r="K266" s="321">
        <f t="shared" si="4"/>
        <v>69645.87000000001</v>
      </c>
    </row>
    <row r="267" spans="1:11" ht="15.95" customHeight="1" x14ac:dyDescent="0.2">
      <c r="A267" s="323" t="s">
        <v>466</v>
      </c>
      <c r="B267" s="373" t="s">
        <v>467</v>
      </c>
      <c r="C267" s="374"/>
      <c r="D267" s="374"/>
      <c r="E267" s="324">
        <v>-265470.09999999998</v>
      </c>
      <c r="F267" s="324">
        <v>1269585.53</v>
      </c>
      <c r="H267" s="324">
        <v>1044643.94</v>
      </c>
      <c r="J267" s="324">
        <v>-40528.51</v>
      </c>
      <c r="K267" s="321">
        <f t="shared" si="4"/>
        <v>224941.58999999997</v>
      </c>
    </row>
    <row r="268" spans="1:11" ht="15.95" customHeight="1" x14ac:dyDescent="0.2">
      <c r="A268" s="323" t="s">
        <v>468</v>
      </c>
      <c r="B268" s="373" t="s">
        <v>469</v>
      </c>
      <c r="C268" s="374"/>
      <c r="D268" s="374"/>
      <c r="E268" s="324">
        <v>-1749.39</v>
      </c>
      <c r="F268" s="324">
        <v>3837.74</v>
      </c>
      <c r="H268" s="324">
        <v>2088.35</v>
      </c>
      <c r="J268" s="324">
        <v>0</v>
      </c>
      <c r="K268" s="321">
        <f t="shared" si="4"/>
        <v>1749.39</v>
      </c>
    </row>
    <row r="269" spans="1:11" ht="15.95" customHeight="1" x14ac:dyDescent="0.2">
      <c r="A269" s="323" t="s">
        <v>470</v>
      </c>
      <c r="B269" s="373" t="s">
        <v>471</v>
      </c>
      <c r="C269" s="374"/>
      <c r="D269" s="374"/>
      <c r="E269" s="324">
        <v>0</v>
      </c>
      <c r="F269" s="324">
        <v>63533.63</v>
      </c>
      <c r="H269" s="324">
        <v>85316.79</v>
      </c>
      <c r="J269" s="324">
        <v>-21783.16</v>
      </c>
      <c r="K269" s="321">
        <f t="shared" si="4"/>
        <v>-21783.16</v>
      </c>
    </row>
    <row r="270" spans="1:11" ht="15.95" customHeight="1" x14ac:dyDescent="0.2">
      <c r="A270" s="323" t="s">
        <v>1487</v>
      </c>
      <c r="B270" s="373" t="s">
        <v>1488</v>
      </c>
      <c r="C270" s="374"/>
      <c r="D270" s="374"/>
      <c r="E270" s="324">
        <v>0</v>
      </c>
      <c r="F270" s="324">
        <v>3784.42</v>
      </c>
      <c r="H270" s="324">
        <v>14870</v>
      </c>
      <c r="J270" s="324">
        <v>-11085.58</v>
      </c>
      <c r="K270" s="321">
        <f t="shared" si="4"/>
        <v>-11085.58</v>
      </c>
    </row>
    <row r="271" spans="1:11" ht="27.95" customHeight="1" x14ac:dyDescent="0.2">
      <c r="A271" s="323" t="s">
        <v>472</v>
      </c>
      <c r="B271" s="373" t="s">
        <v>473</v>
      </c>
      <c r="C271" s="374"/>
      <c r="D271" s="374"/>
      <c r="E271" s="324">
        <v>-2456.83</v>
      </c>
      <c r="F271" s="324">
        <v>12059.25</v>
      </c>
      <c r="H271" s="324">
        <v>11147.56</v>
      </c>
      <c r="J271" s="324">
        <v>-1545.14</v>
      </c>
      <c r="K271" s="321">
        <f t="shared" si="4"/>
        <v>911.68999999999983</v>
      </c>
    </row>
    <row r="272" spans="1:11" ht="15.95" customHeight="1" x14ac:dyDescent="0.2">
      <c r="A272" s="323" t="s">
        <v>474</v>
      </c>
      <c r="B272" s="373" t="s">
        <v>475</v>
      </c>
      <c r="C272" s="374"/>
      <c r="D272" s="374"/>
      <c r="E272" s="324">
        <v>-5038.26</v>
      </c>
      <c r="F272" s="324">
        <v>10076.530000000001</v>
      </c>
      <c r="H272" s="324">
        <v>5038.2700000000004</v>
      </c>
      <c r="J272" s="324">
        <v>0</v>
      </c>
      <c r="K272" s="321">
        <f t="shared" si="4"/>
        <v>5038.26</v>
      </c>
    </row>
    <row r="273" spans="1:11" ht="15.95" customHeight="1" x14ac:dyDescent="0.2">
      <c r="A273" s="323" t="s">
        <v>476</v>
      </c>
      <c r="B273" s="373" t="s">
        <v>477</v>
      </c>
      <c r="C273" s="374"/>
      <c r="D273" s="374"/>
      <c r="E273" s="324">
        <v>-1592.25</v>
      </c>
      <c r="F273" s="324">
        <v>4951.32</v>
      </c>
      <c r="H273" s="324">
        <v>4950</v>
      </c>
      <c r="J273" s="324">
        <v>-1590.93</v>
      </c>
      <c r="K273" s="321">
        <f t="shared" si="4"/>
        <v>1.3199999999999363</v>
      </c>
    </row>
    <row r="274" spans="1:11" ht="15.95" customHeight="1" x14ac:dyDescent="0.2">
      <c r="A274" s="323" t="s">
        <v>1489</v>
      </c>
      <c r="B274" s="373" t="s">
        <v>1490</v>
      </c>
      <c r="C274" s="374"/>
      <c r="D274" s="374"/>
      <c r="E274" s="324">
        <v>0</v>
      </c>
      <c r="F274" s="324">
        <v>7865.86</v>
      </c>
      <c r="H274" s="324">
        <v>13124.94</v>
      </c>
      <c r="J274" s="324">
        <v>-5259.08</v>
      </c>
      <c r="K274" s="321">
        <f t="shared" si="4"/>
        <v>-5259.08</v>
      </c>
    </row>
    <row r="275" spans="1:11" ht="15.95" customHeight="1" x14ac:dyDescent="0.2">
      <c r="A275" s="323" t="s">
        <v>1491</v>
      </c>
      <c r="B275" s="373" t="s">
        <v>1492</v>
      </c>
      <c r="C275" s="374"/>
      <c r="D275" s="374"/>
      <c r="E275" s="324">
        <v>-82681.070000000007</v>
      </c>
      <c r="F275" s="324">
        <v>334287.5</v>
      </c>
      <c r="H275" s="324">
        <v>251606.43</v>
      </c>
      <c r="J275" s="324">
        <v>0</v>
      </c>
      <c r="K275" s="321">
        <f t="shared" si="4"/>
        <v>82681.070000000007</v>
      </c>
    </row>
    <row r="276" spans="1:11" ht="15.95" customHeight="1" x14ac:dyDescent="0.2">
      <c r="A276" s="323" t="s">
        <v>478</v>
      </c>
      <c r="B276" s="373" t="s">
        <v>479</v>
      </c>
      <c r="C276" s="374"/>
      <c r="D276" s="374"/>
      <c r="E276" s="324">
        <v>0</v>
      </c>
      <c r="F276" s="324">
        <v>7642.8</v>
      </c>
      <c r="H276" s="324">
        <v>7642.8</v>
      </c>
      <c r="J276" s="324">
        <v>0</v>
      </c>
      <c r="K276" s="321">
        <f t="shared" si="4"/>
        <v>0</v>
      </c>
    </row>
    <row r="277" spans="1:11" ht="15.95" customHeight="1" x14ac:dyDescent="0.2">
      <c r="A277" s="323" t="s">
        <v>480</v>
      </c>
      <c r="B277" s="373" t="s">
        <v>481</v>
      </c>
      <c r="C277" s="374"/>
      <c r="D277" s="374"/>
      <c r="E277" s="324">
        <v>-2082.64</v>
      </c>
      <c r="F277" s="324">
        <v>5641.32</v>
      </c>
      <c r="H277" s="324">
        <v>4600</v>
      </c>
      <c r="J277" s="324">
        <v>-1041.32</v>
      </c>
      <c r="K277" s="321">
        <f t="shared" si="4"/>
        <v>1041.32</v>
      </c>
    </row>
    <row r="278" spans="1:11" ht="15.95" customHeight="1" x14ac:dyDescent="0.2">
      <c r="A278" s="323" t="s">
        <v>482</v>
      </c>
      <c r="B278" s="373" t="s">
        <v>483</v>
      </c>
      <c r="C278" s="374"/>
      <c r="D278" s="374"/>
      <c r="E278" s="324">
        <v>0</v>
      </c>
      <c r="F278" s="324">
        <v>1034</v>
      </c>
      <c r="H278" s="324">
        <v>1034</v>
      </c>
      <c r="J278" s="324">
        <v>0</v>
      </c>
      <c r="K278" s="321">
        <f t="shared" si="4"/>
        <v>0</v>
      </c>
    </row>
    <row r="279" spans="1:11" ht="15.95" customHeight="1" x14ac:dyDescent="0.2">
      <c r="A279" s="323" t="s">
        <v>484</v>
      </c>
      <c r="B279" s="373" t="s">
        <v>485</v>
      </c>
      <c r="C279" s="374"/>
      <c r="D279" s="374"/>
      <c r="E279" s="324">
        <v>0</v>
      </c>
      <c r="F279" s="324">
        <v>1258.8499999999999</v>
      </c>
      <c r="H279" s="324">
        <v>1258.8499999999999</v>
      </c>
      <c r="J279" s="324">
        <v>0</v>
      </c>
      <c r="K279" s="321">
        <f t="shared" si="4"/>
        <v>0</v>
      </c>
    </row>
    <row r="280" spans="1:11" ht="15.95" customHeight="1" x14ac:dyDescent="0.2">
      <c r="A280" s="323" t="s">
        <v>486</v>
      </c>
      <c r="B280" s="373" t="s">
        <v>487</v>
      </c>
      <c r="C280" s="374"/>
      <c r="D280" s="374"/>
      <c r="E280" s="324">
        <v>0</v>
      </c>
      <c r="F280" s="324">
        <v>2492.0700000000002</v>
      </c>
      <c r="H280" s="324">
        <v>2492.0700000000002</v>
      </c>
      <c r="J280" s="324">
        <v>0</v>
      </c>
      <c r="K280" s="321">
        <f t="shared" si="4"/>
        <v>0</v>
      </c>
    </row>
    <row r="281" spans="1:11" ht="15.95" customHeight="1" x14ac:dyDescent="0.2">
      <c r="A281" s="323" t="s">
        <v>488</v>
      </c>
      <c r="B281" s="373" t="s">
        <v>489</v>
      </c>
      <c r="C281" s="374"/>
      <c r="D281" s="374"/>
      <c r="E281" s="324">
        <v>0</v>
      </c>
      <c r="F281" s="324">
        <v>376470.59</v>
      </c>
      <c r="H281" s="324">
        <v>511697.05</v>
      </c>
      <c r="J281" s="324">
        <v>-135226.46</v>
      </c>
      <c r="K281" s="321">
        <f t="shared" si="4"/>
        <v>-135226.46</v>
      </c>
    </row>
    <row r="282" spans="1:11" ht="15.95" customHeight="1" x14ac:dyDescent="0.2">
      <c r="A282" s="323" t="s">
        <v>490</v>
      </c>
      <c r="B282" s="373" t="s">
        <v>491</v>
      </c>
      <c r="C282" s="374"/>
      <c r="D282" s="374"/>
      <c r="E282" s="324">
        <v>-2777.92</v>
      </c>
      <c r="F282" s="324">
        <v>11960.39</v>
      </c>
      <c r="H282" s="324">
        <v>13874.81</v>
      </c>
      <c r="J282" s="324">
        <v>-4692.34</v>
      </c>
      <c r="K282" s="321">
        <f t="shared" si="4"/>
        <v>-1914.42</v>
      </c>
    </row>
    <row r="283" spans="1:11" ht="15.95" customHeight="1" x14ac:dyDescent="0.2">
      <c r="A283" s="323" t="s">
        <v>492</v>
      </c>
      <c r="B283" s="373" t="s">
        <v>493</v>
      </c>
      <c r="C283" s="374"/>
      <c r="D283" s="374"/>
      <c r="E283" s="324">
        <v>0</v>
      </c>
      <c r="F283" s="324">
        <v>1640.32</v>
      </c>
      <c r="H283" s="324">
        <v>1640.32</v>
      </c>
      <c r="J283" s="324">
        <v>0</v>
      </c>
      <c r="K283" s="321">
        <f t="shared" si="4"/>
        <v>0</v>
      </c>
    </row>
    <row r="284" spans="1:11" ht="15.95" customHeight="1" x14ac:dyDescent="0.2">
      <c r="A284" s="323" t="s">
        <v>496</v>
      </c>
      <c r="B284" s="373" t="s">
        <v>497</v>
      </c>
      <c r="C284" s="374"/>
      <c r="D284" s="374"/>
      <c r="E284" s="324">
        <v>-119502.26</v>
      </c>
      <c r="F284" s="324">
        <v>0</v>
      </c>
      <c r="H284" s="324">
        <v>0</v>
      </c>
      <c r="J284" s="324">
        <v>-119502.26</v>
      </c>
      <c r="K284" s="321">
        <f t="shared" si="4"/>
        <v>0</v>
      </c>
    </row>
    <row r="285" spans="1:11" ht="15.95" customHeight="1" x14ac:dyDescent="0.2">
      <c r="A285" s="323" t="s">
        <v>498</v>
      </c>
      <c r="B285" s="373" t="s">
        <v>499</v>
      </c>
      <c r="C285" s="374"/>
      <c r="D285" s="374"/>
      <c r="E285" s="324">
        <v>-1178.8900000000001</v>
      </c>
      <c r="F285" s="324">
        <v>4134.03</v>
      </c>
      <c r="H285" s="324">
        <v>4134.03</v>
      </c>
      <c r="J285" s="324">
        <v>-1178.8900000000001</v>
      </c>
      <c r="K285" s="321">
        <f t="shared" si="4"/>
        <v>0</v>
      </c>
    </row>
    <row r="286" spans="1:11" ht="15.95" customHeight="1" x14ac:dyDescent="0.2">
      <c r="A286" s="323" t="s">
        <v>1497</v>
      </c>
      <c r="B286" s="373" t="s">
        <v>1498</v>
      </c>
      <c r="C286" s="374"/>
      <c r="D286" s="374"/>
      <c r="E286" s="324">
        <v>-254415.56</v>
      </c>
      <c r="F286" s="324">
        <v>254415.56</v>
      </c>
      <c r="H286" s="324">
        <v>0</v>
      </c>
      <c r="J286" s="324">
        <v>0</v>
      </c>
      <c r="K286" s="321">
        <f t="shared" si="4"/>
        <v>254415.56</v>
      </c>
    </row>
    <row r="287" spans="1:11" ht="15.95" customHeight="1" x14ac:dyDescent="0.2">
      <c r="A287" s="323" t="s">
        <v>502</v>
      </c>
      <c r="B287" s="373" t="s">
        <v>503</v>
      </c>
      <c r="C287" s="374"/>
      <c r="D287" s="374"/>
      <c r="E287" s="324">
        <v>-63154.31</v>
      </c>
      <c r="F287" s="324">
        <v>683495.94</v>
      </c>
      <c r="H287" s="324">
        <v>681703.13</v>
      </c>
      <c r="J287" s="324">
        <v>-61361.5</v>
      </c>
      <c r="K287" s="321">
        <f t="shared" si="4"/>
        <v>1792.8099999999977</v>
      </c>
    </row>
    <row r="288" spans="1:11" ht="15.95" customHeight="1" x14ac:dyDescent="0.2">
      <c r="A288" s="323" t="s">
        <v>504</v>
      </c>
      <c r="B288" s="373" t="s">
        <v>505</v>
      </c>
      <c r="C288" s="374"/>
      <c r="D288" s="374"/>
      <c r="E288" s="324">
        <v>-3176.4</v>
      </c>
      <c r="F288" s="324">
        <v>11265.2</v>
      </c>
      <c r="H288" s="324">
        <v>11277.78</v>
      </c>
      <c r="J288" s="324">
        <v>-3188.98</v>
      </c>
      <c r="K288" s="321">
        <f t="shared" si="4"/>
        <v>-12.579999999999927</v>
      </c>
    </row>
    <row r="289" spans="1:11" ht="15.95" customHeight="1" x14ac:dyDescent="0.2">
      <c r="A289" s="323" t="s">
        <v>506</v>
      </c>
      <c r="B289" s="373" t="s">
        <v>507</v>
      </c>
      <c r="C289" s="374"/>
      <c r="D289" s="374"/>
      <c r="E289" s="324">
        <v>0</v>
      </c>
      <c r="F289" s="324">
        <v>378002.14</v>
      </c>
      <c r="H289" s="324">
        <v>378002.14</v>
      </c>
      <c r="J289" s="324">
        <v>0</v>
      </c>
      <c r="K289" s="321">
        <f t="shared" si="4"/>
        <v>0</v>
      </c>
    </row>
    <row r="290" spans="1:11" ht="15.95" customHeight="1" x14ac:dyDescent="0.2">
      <c r="A290" s="323" t="s">
        <v>508</v>
      </c>
      <c r="B290" s="373" t="s">
        <v>509</v>
      </c>
      <c r="C290" s="374"/>
      <c r="D290" s="374"/>
      <c r="E290" s="324">
        <v>0</v>
      </c>
      <c r="F290" s="324">
        <v>159242.54999999999</v>
      </c>
      <c r="H290" s="324">
        <v>287325.58</v>
      </c>
      <c r="J290" s="324">
        <v>-128083.03</v>
      </c>
      <c r="K290" s="321">
        <f t="shared" si="4"/>
        <v>-128083.03</v>
      </c>
    </row>
    <row r="291" spans="1:11" ht="15.95" customHeight="1" x14ac:dyDescent="0.2">
      <c r="A291" s="323" t="s">
        <v>510</v>
      </c>
      <c r="B291" s="373" t="s">
        <v>511</v>
      </c>
      <c r="C291" s="374"/>
      <c r="D291" s="374"/>
      <c r="E291" s="324">
        <v>-200198.25</v>
      </c>
      <c r="F291" s="324">
        <v>949200.75</v>
      </c>
      <c r="H291" s="324">
        <v>1035000</v>
      </c>
      <c r="J291" s="324">
        <v>-285997.5</v>
      </c>
      <c r="K291" s="321">
        <f t="shared" si="4"/>
        <v>-85799.25</v>
      </c>
    </row>
    <row r="292" spans="1:11" ht="15.95" customHeight="1" x14ac:dyDescent="0.2">
      <c r="A292" s="323" t="s">
        <v>1499</v>
      </c>
      <c r="B292" s="373" t="s">
        <v>1500</v>
      </c>
      <c r="C292" s="374"/>
      <c r="D292" s="374"/>
      <c r="E292" s="324">
        <v>-1612.45</v>
      </c>
      <c r="F292" s="324">
        <v>1612.45</v>
      </c>
      <c r="H292" s="324">
        <v>0</v>
      </c>
      <c r="J292" s="324">
        <v>0</v>
      </c>
      <c r="K292" s="321">
        <f t="shared" si="4"/>
        <v>1612.45</v>
      </c>
    </row>
    <row r="293" spans="1:11" ht="15.95" customHeight="1" x14ac:dyDescent="0.2">
      <c r="A293" s="323" t="s">
        <v>512</v>
      </c>
      <c r="B293" s="373" t="s">
        <v>513</v>
      </c>
      <c r="C293" s="374"/>
      <c r="D293" s="374"/>
      <c r="E293" s="324">
        <v>-1606.1</v>
      </c>
      <c r="F293" s="324">
        <v>0</v>
      </c>
      <c r="H293" s="324">
        <v>0</v>
      </c>
      <c r="J293" s="324">
        <v>-1606.1</v>
      </c>
      <c r="K293" s="321">
        <f t="shared" si="4"/>
        <v>0</v>
      </c>
    </row>
    <row r="294" spans="1:11" ht="15.95" customHeight="1" x14ac:dyDescent="0.2">
      <c r="A294" s="323" t="s">
        <v>1501</v>
      </c>
      <c r="B294" s="373" t="s">
        <v>1502</v>
      </c>
      <c r="C294" s="374"/>
      <c r="D294" s="374"/>
      <c r="E294" s="324">
        <v>0</v>
      </c>
      <c r="F294" s="324">
        <v>1439.56</v>
      </c>
      <c r="H294" s="324">
        <v>1439.56</v>
      </c>
      <c r="J294" s="324">
        <v>0</v>
      </c>
      <c r="K294" s="321">
        <f t="shared" si="4"/>
        <v>0</v>
      </c>
    </row>
    <row r="295" spans="1:11" ht="15.95" customHeight="1" x14ac:dyDescent="0.2">
      <c r="A295" s="323" t="s">
        <v>1503</v>
      </c>
      <c r="B295" s="373" t="s">
        <v>1504</v>
      </c>
      <c r="C295" s="374"/>
      <c r="D295" s="374"/>
      <c r="E295" s="324">
        <v>0</v>
      </c>
      <c r="F295" s="324">
        <v>2548</v>
      </c>
      <c r="H295" s="324">
        <v>2548</v>
      </c>
      <c r="J295" s="324">
        <v>0</v>
      </c>
      <c r="K295" s="321">
        <f t="shared" si="4"/>
        <v>0</v>
      </c>
    </row>
    <row r="296" spans="1:11" ht="15.95" customHeight="1" x14ac:dyDescent="0.2">
      <c r="A296" s="323" t="s">
        <v>514</v>
      </c>
      <c r="B296" s="373" t="s">
        <v>515</v>
      </c>
      <c r="C296" s="374"/>
      <c r="D296" s="374"/>
      <c r="E296" s="324">
        <v>0</v>
      </c>
      <c r="F296" s="324">
        <v>53250.15</v>
      </c>
      <c r="H296" s="324">
        <v>75549.990000000005</v>
      </c>
      <c r="J296" s="324">
        <v>-22299.84</v>
      </c>
      <c r="K296" s="321">
        <f t="shared" si="4"/>
        <v>-22299.84</v>
      </c>
    </row>
    <row r="297" spans="1:11" ht="15.95" customHeight="1" x14ac:dyDescent="0.2">
      <c r="A297" s="323" t="s">
        <v>516</v>
      </c>
      <c r="B297" s="373" t="s">
        <v>517</v>
      </c>
      <c r="C297" s="374"/>
      <c r="D297" s="374"/>
      <c r="E297" s="324">
        <v>-6121.35</v>
      </c>
      <c r="F297" s="324">
        <v>0</v>
      </c>
      <c r="H297" s="324">
        <v>0</v>
      </c>
      <c r="J297" s="324">
        <v>-6121.35</v>
      </c>
      <c r="K297" s="321">
        <f t="shared" si="4"/>
        <v>0</v>
      </c>
    </row>
    <row r="298" spans="1:11" ht="15.95" customHeight="1" x14ac:dyDescent="0.2">
      <c r="A298" s="323" t="s">
        <v>518</v>
      </c>
      <c r="B298" s="373" t="s">
        <v>519</v>
      </c>
      <c r="C298" s="374"/>
      <c r="D298" s="374"/>
      <c r="E298" s="324">
        <v>-336097.33</v>
      </c>
      <c r="F298" s="324">
        <v>163174.37</v>
      </c>
      <c r="H298" s="324">
        <v>0</v>
      </c>
      <c r="J298" s="324">
        <v>-172922.96</v>
      </c>
      <c r="K298" s="321">
        <f t="shared" si="4"/>
        <v>163174.37000000002</v>
      </c>
    </row>
    <row r="299" spans="1:11" ht="15.95" customHeight="1" x14ac:dyDescent="0.2">
      <c r="A299" s="323" t="s">
        <v>1505</v>
      </c>
      <c r="B299" s="373" t="s">
        <v>1506</v>
      </c>
      <c r="C299" s="374"/>
      <c r="D299" s="374"/>
      <c r="E299" s="324">
        <v>0</v>
      </c>
      <c r="F299" s="324">
        <v>3602.11</v>
      </c>
      <c r="H299" s="324">
        <v>3602.11</v>
      </c>
      <c r="J299" s="324">
        <v>0</v>
      </c>
      <c r="K299" s="321">
        <f t="shared" si="4"/>
        <v>0</v>
      </c>
    </row>
    <row r="300" spans="1:11" ht="15.95" customHeight="1" x14ac:dyDescent="0.2">
      <c r="A300" s="323" t="s">
        <v>1507</v>
      </c>
      <c r="B300" s="373" t="s">
        <v>1508</v>
      </c>
      <c r="C300" s="374"/>
      <c r="D300" s="374"/>
      <c r="E300" s="324">
        <v>0</v>
      </c>
      <c r="F300" s="324">
        <v>3677</v>
      </c>
      <c r="H300" s="324">
        <v>3677</v>
      </c>
      <c r="J300" s="324">
        <v>0</v>
      </c>
      <c r="K300" s="321">
        <f t="shared" si="4"/>
        <v>0</v>
      </c>
    </row>
    <row r="301" spans="1:11" ht="15.95" customHeight="1" x14ac:dyDescent="0.2">
      <c r="A301" s="323" t="s">
        <v>520</v>
      </c>
      <c r="B301" s="373" t="s">
        <v>521</v>
      </c>
      <c r="C301" s="374"/>
      <c r="D301" s="374"/>
      <c r="E301" s="324">
        <v>-27612</v>
      </c>
      <c r="F301" s="324">
        <v>27612</v>
      </c>
      <c r="H301" s="324">
        <v>0</v>
      </c>
      <c r="J301" s="324">
        <v>0</v>
      </c>
      <c r="K301" s="321">
        <f t="shared" si="4"/>
        <v>27612</v>
      </c>
    </row>
    <row r="302" spans="1:11" ht="15.95" customHeight="1" x14ac:dyDescent="0.2">
      <c r="A302" s="323" t="s">
        <v>522</v>
      </c>
      <c r="B302" s="373" t="s">
        <v>523</v>
      </c>
      <c r="C302" s="374"/>
      <c r="D302" s="374"/>
      <c r="E302" s="324">
        <v>-5841.65</v>
      </c>
      <c r="F302" s="324">
        <v>21281.4</v>
      </c>
      <c r="H302" s="324">
        <v>24300.639999999999</v>
      </c>
      <c r="J302" s="324">
        <v>-8860.89</v>
      </c>
      <c r="K302" s="321">
        <f t="shared" si="4"/>
        <v>-3019.24</v>
      </c>
    </row>
    <row r="303" spans="1:11" ht="15.95" customHeight="1" x14ac:dyDescent="0.2">
      <c r="A303" s="323" t="s">
        <v>524</v>
      </c>
      <c r="B303" s="373" t="s">
        <v>525</v>
      </c>
      <c r="C303" s="374"/>
      <c r="D303" s="374"/>
      <c r="E303" s="324">
        <v>0</v>
      </c>
      <c r="F303" s="324">
        <v>246122.52</v>
      </c>
      <c r="H303" s="324">
        <v>246122.52</v>
      </c>
      <c r="J303" s="324">
        <v>0</v>
      </c>
      <c r="K303" s="321">
        <f t="shared" si="4"/>
        <v>0</v>
      </c>
    </row>
    <row r="304" spans="1:11" ht="15.95" customHeight="1" x14ac:dyDescent="0.2">
      <c r="A304" s="323" t="s">
        <v>528</v>
      </c>
      <c r="B304" s="373" t="s">
        <v>529</v>
      </c>
      <c r="C304" s="374"/>
      <c r="D304" s="374"/>
      <c r="E304" s="324">
        <v>0</v>
      </c>
      <c r="F304" s="324">
        <v>1168</v>
      </c>
      <c r="H304" s="324">
        <v>1168</v>
      </c>
      <c r="J304" s="324">
        <v>0</v>
      </c>
      <c r="K304" s="321">
        <f t="shared" si="4"/>
        <v>0</v>
      </c>
    </row>
    <row r="305" spans="1:11" ht="15.95" customHeight="1" x14ac:dyDescent="0.2">
      <c r="A305" s="323" t="s">
        <v>530</v>
      </c>
      <c r="B305" s="373" t="s">
        <v>531</v>
      </c>
      <c r="C305" s="374"/>
      <c r="D305" s="374"/>
      <c r="E305" s="324">
        <v>-15259.51</v>
      </c>
      <c r="F305" s="324">
        <v>55770.12</v>
      </c>
      <c r="H305" s="324">
        <v>72775.41</v>
      </c>
      <c r="J305" s="324">
        <v>-32264.799999999999</v>
      </c>
      <c r="K305" s="321">
        <f t="shared" si="4"/>
        <v>-17005.29</v>
      </c>
    </row>
    <row r="306" spans="1:11" ht="15.95" customHeight="1" x14ac:dyDescent="0.2">
      <c r="A306" s="323" t="s">
        <v>1879</v>
      </c>
      <c r="B306" s="373" t="s">
        <v>1880</v>
      </c>
      <c r="C306" s="374"/>
      <c r="D306" s="374"/>
      <c r="E306" s="324">
        <v>0</v>
      </c>
      <c r="F306" s="324">
        <v>1788</v>
      </c>
      <c r="H306" s="324">
        <v>1788</v>
      </c>
      <c r="J306" s="324">
        <v>0</v>
      </c>
      <c r="K306" s="321">
        <f t="shared" si="4"/>
        <v>0</v>
      </c>
    </row>
    <row r="307" spans="1:11" ht="15.95" customHeight="1" x14ac:dyDescent="0.2">
      <c r="A307" s="323" t="s">
        <v>532</v>
      </c>
      <c r="B307" s="373" t="s">
        <v>533</v>
      </c>
      <c r="C307" s="374"/>
      <c r="D307" s="374"/>
      <c r="E307" s="324">
        <v>-1602.31</v>
      </c>
      <c r="F307" s="324">
        <v>4788.51</v>
      </c>
      <c r="H307" s="324">
        <v>4606.43</v>
      </c>
      <c r="J307" s="324">
        <v>-1420.23</v>
      </c>
      <c r="K307" s="321">
        <f t="shared" si="4"/>
        <v>182.07999999999993</v>
      </c>
    </row>
    <row r="308" spans="1:11" ht="15.95" customHeight="1" x14ac:dyDescent="0.2">
      <c r="A308" s="323" t="s">
        <v>534</v>
      </c>
      <c r="B308" s="373" t="s">
        <v>535</v>
      </c>
      <c r="C308" s="374"/>
      <c r="D308" s="374"/>
      <c r="E308" s="324">
        <v>-57455.07</v>
      </c>
      <c r="F308" s="324">
        <v>734477.98</v>
      </c>
      <c r="H308" s="324">
        <v>745138.32</v>
      </c>
      <c r="J308" s="324">
        <v>-68115.41</v>
      </c>
      <c r="K308" s="321">
        <f t="shared" si="4"/>
        <v>-10660.340000000004</v>
      </c>
    </row>
    <row r="309" spans="1:11" ht="15.95" customHeight="1" x14ac:dyDescent="0.2">
      <c r="A309" s="323" t="s">
        <v>1513</v>
      </c>
      <c r="B309" s="373" t="s">
        <v>1514</v>
      </c>
      <c r="C309" s="374"/>
      <c r="D309" s="374"/>
      <c r="E309" s="324">
        <v>0</v>
      </c>
      <c r="F309" s="324">
        <v>30619.34</v>
      </c>
      <c r="H309" s="324">
        <v>30619.34</v>
      </c>
      <c r="J309" s="324">
        <v>0</v>
      </c>
      <c r="K309" s="321">
        <f t="shared" si="4"/>
        <v>0</v>
      </c>
    </row>
    <row r="310" spans="1:11" ht="15.95" customHeight="1" x14ac:dyDescent="0.2">
      <c r="A310" s="323" t="s">
        <v>536</v>
      </c>
      <c r="B310" s="373" t="s">
        <v>537</v>
      </c>
      <c r="C310" s="374"/>
      <c r="D310" s="374"/>
      <c r="E310" s="324">
        <v>0</v>
      </c>
      <c r="F310" s="324">
        <v>37108.019999999997</v>
      </c>
      <c r="H310" s="324">
        <v>37108.019999999997</v>
      </c>
      <c r="J310" s="324">
        <v>0</v>
      </c>
      <c r="K310" s="321">
        <f t="shared" si="4"/>
        <v>0</v>
      </c>
    </row>
    <row r="311" spans="1:11" ht="15.95" customHeight="1" x14ac:dyDescent="0.2">
      <c r="A311" s="323" t="s">
        <v>538</v>
      </c>
      <c r="B311" s="373" t="s">
        <v>539</v>
      </c>
      <c r="C311" s="374"/>
      <c r="D311" s="374"/>
      <c r="E311" s="324">
        <v>0</v>
      </c>
      <c r="F311" s="324">
        <v>3900</v>
      </c>
      <c r="H311" s="324">
        <v>3900</v>
      </c>
      <c r="J311" s="324">
        <v>0</v>
      </c>
      <c r="K311" s="321">
        <f t="shared" si="4"/>
        <v>0</v>
      </c>
    </row>
    <row r="312" spans="1:11" ht="15.95" customHeight="1" x14ac:dyDescent="0.2">
      <c r="A312" s="323" t="s">
        <v>540</v>
      </c>
      <c r="B312" s="373" t="s">
        <v>541</v>
      </c>
      <c r="C312" s="374"/>
      <c r="D312" s="374"/>
      <c r="E312" s="324">
        <v>-99496.55</v>
      </c>
      <c r="F312" s="324">
        <v>0</v>
      </c>
      <c r="H312" s="324">
        <v>0</v>
      </c>
      <c r="J312" s="324">
        <v>-99496.55</v>
      </c>
      <c r="K312" s="321">
        <f t="shared" si="4"/>
        <v>0</v>
      </c>
    </row>
    <row r="313" spans="1:11" ht="15.95" customHeight="1" x14ac:dyDescent="0.2">
      <c r="A313" s="323" t="s">
        <v>1515</v>
      </c>
      <c r="B313" s="373" t="s">
        <v>1516</v>
      </c>
      <c r="C313" s="374"/>
      <c r="D313" s="374"/>
      <c r="E313" s="324">
        <v>-414352.25</v>
      </c>
      <c r="F313" s="324">
        <v>586618.17000000004</v>
      </c>
      <c r="H313" s="324">
        <v>172265.92</v>
      </c>
      <c r="J313" s="324">
        <v>0</v>
      </c>
      <c r="K313" s="321">
        <f t="shared" si="4"/>
        <v>414352.25</v>
      </c>
    </row>
    <row r="314" spans="1:11" ht="15.95" customHeight="1" x14ac:dyDescent="0.2">
      <c r="A314" s="323" t="s">
        <v>542</v>
      </c>
      <c r="B314" s="373" t="s">
        <v>543</v>
      </c>
      <c r="C314" s="374"/>
      <c r="D314" s="374"/>
      <c r="E314" s="324">
        <v>0</v>
      </c>
      <c r="F314" s="324">
        <v>187624</v>
      </c>
      <c r="H314" s="324">
        <v>187624</v>
      </c>
      <c r="J314" s="324">
        <v>0</v>
      </c>
      <c r="K314" s="321">
        <f t="shared" si="4"/>
        <v>0</v>
      </c>
    </row>
    <row r="315" spans="1:11" ht="15.95" customHeight="1" x14ac:dyDescent="0.2">
      <c r="A315" s="323" t="s">
        <v>544</v>
      </c>
      <c r="B315" s="373" t="s">
        <v>545</v>
      </c>
      <c r="C315" s="374"/>
      <c r="D315" s="374"/>
      <c r="E315" s="324">
        <v>-17302.46</v>
      </c>
      <c r="F315" s="324">
        <v>38311.9</v>
      </c>
      <c r="H315" s="324">
        <v>21009.439999999999</v>
      </c>
      <c r="J315" s="324">
        <v>0</v>
      </c>
      <c r="K315" s="321">
        <f t="shared" si="4"/>
        <v>17302.46</v>
      </c>
    </row>
    <row r="316" spans="1:11" ht="15.95" customHeight="1" x14ac:dyDescent="0.2">
      <c r="A316" s="323" t="s">
        <v>548</v>
      </c>
      <c r="B316" s="373" t="s">
        <v>549</v>
      </c>
      <c r="C316" s="374"/>
      <c r="D316" s="374"/>
      <c r="E316" s="324">
        <v>0</v>
      </c>
      <c r="F316" s="324">
        <v>31809.97</v>
      </c>
      <c r="H316" s="324">
        <v>31809.97</v>
      </c>
      <c r="J316" s="324">
        <v>0</v>
      </c>
      <c r="K316" s="321">
        <f t="shared" si="4"/>
        <v>0</v>
      </c>
    </row>
    <row r="317" spans="1:11" ht="15.95" customHeight="1" x14ac:dyDescent="0.2">
      <c r="A317" s="323" t="s">
        <v>550</v>
      </c>
      <c r="B317" s="373" t="s">
        <v>551</v>
      </c>
      <c r="C317" s="374"/>
      <c r="D317" s="374"/>
      <c r="E317" s="324">
        <v>0</v>
      </c>
      <c r="F317" s="324">
        <v>48900</v>
      </c>
      <c r="H317" s="324">
        <v>48900</v>
      </c>
      <c r="J317" s="324">
        <v>0</v>
      </c>
      <c r="K317" s="321">
        <f t="shared" si="4"/>
        <v>0</v>
      </c>
    </row>
    <row r="318" spans="1:11" ht="15.95" customHeight="1" x14ac:dyDescent="0.2">
      <c r="A318" s="323" t="s">
        <v>1521</v>
      </c>
      <c r="B318" s="373" t="s">
        <v>1522</v>
      </c>
      <c r="C318" s="374"/>
      <c r="D318" s="374"/>
      <c r="E318" s="324">
        <v>0</v>
      </c>
      <c r="F318" s="324">
        <v>3325</v>
      </c>
      <c r="H318" s="324">
        <v>3325</v>
      </c>
      <c r="J318" s="324">
        <v>0</v>
      </c>
      <c r="K318" s="321">
        <f t="shared" si="4"/>
        <v>0</v>
      </c>
    </row>
    <row r="319" spans="1:11" ht="15.95" customHeight="1" x14ac:dyDescent="0.2">
      <c r="A319" s="323" t="s">
        <v>552</v>
      </c>
      <c r="B319" s="373" t="s">
        <v>553</v>
      </c>
      <c r="C319" s="374"/>
      <c r="D319" s="374"/>
      <c r="E319" s="324">
        <v>0</v>
      </c>
      <c r="F319" s="324">
        <v>3618.88</v>
      </c>
      <c r="H319" s="324">
        <v>4323.72</v>
      </c>
      <c r="J319" s="324">
        <v>-704.84</v>
      </c>
      <c r="K319" s="321">
        <f t="shared" si="4"/>
        <v>-704.84</v>
      </c>
    </row>
    <row r="320" spans="1:11" ht="15.95" customHeight="1" x14ac:dyDescent="0.2">
      <c r="A320" s="323" t="s">
        <v>1812</v>
      </c>
      <c r="B320" s="373" t="s">
        <v>1813</v>
      </c>
      <c r="C320" s="374"/>
      <c r="D320" s="374"/>
      <c r="E320" s="324">
        <v>0</v>
      </c>
      <c r="F320" s="324">
        <v>648</v>
      </c>
      <c r="H320" s="324">
        <v>648</v>
      </c>
      <c r="J320" s="324">
        <v>0</v>
      </c>
      <c r="K320" s="321">
        <f t="shared" si="4"/>
        <v>0</v>
      </c>
    </row>
    <row r="321" spans="1:11" ht="15.95" customHeight="1" x14ac:dyDescent="0.2">
      <c r="A321" s="323" t="s">
        <v>554</v>
      </c>
      <c r="B321" s="373" t="s">
        <v>555</v>
      </c>
      <c r="C321" s="374"/>
      <c r="D321" s="374"/>
      <c r="E321" s="324">
        <v>0</v>
      </c>
      <c r="F321" s="324">
        <v>1437.36</v>
      </c>
      <c r="H321" s="324">
        <v>1437.36</v>
      </c>
      <c r="J321" s="324">
        <v>0</v>
      </c>
      <c r="K321" s="321">
        <f t="shared" si="4"/>
        <v>0</v>
      </c>
    </row>
    <row r="322" spans="1:11" ht="15.95" customHeight="1" x14ac:dyDescent="0.2">
      <c r="A322" s="323" t="s">
        <v>1881</v>
      </c>
      <c r="B322" s="373" t="s">
        <v>1882</v>
      </c>
      <c r="C322" s="374"/>
      <c r="D322" s="374"/>
      <c r="E322" s="324">
        <v>0</v>
      </c>
      <c r="F322" s="324">
        <v>998</v>
      </c>
      <c r="H322" s="324">
        <v>998</v>
      </c>
      <c r="J322" s="324">
        <v>0</v>
      </c>
      <c r="K322" s="321">
        <f t="shared" si="4"/>
        <v>0</v>
      </c>
    </row>
    <row r="323" spans="1:11" ht="15.95" customHeight="1" x14ac:dyDescent="0.2">
      <c r="A323" s="323">
        <v>2110102</v>
      </c>
      <c r="B323" s="373" t="s">
        <v>566</v>
      </c>
      <c r="C323" s="374"/>
      <c r="D323" s="374"/>
      <c r="E323" s="324">
        <v>-380933.78</v>
      </c>
      <c r="F323" s="324">
        <v>1103465.51</v>
      </c>
      <c r="H323" s="324">
        <v>726324.89</v>
      </c>
      <c r="J323" s="324">
        <v>-3793.16</v>
      </c>
      <c r="K323" s="321">
        <f t="shared" ref="K323:K386" si="5">J323-E323</f>
        <v>377140.62000000005</v>
      </c>
    </row>
    <row r="324" spans="1:11" ht="15.95" customHeight="1" x14ac:dyDescent="0.2">
      <c r="A324" s="323" t="s">
        <v>567</v>
      </c>
      <c r="B324" s="373" t="s">
        <v>568</v>
      </c>
      <c r="C324" s="374"/>
      <c r="D324" s="374"/>
      <c r="E324" s="324">
        <v>0</v>
      </c>
      <c r="F324" s="324">
        <v>396</v>
      </c>
      <c r="H324" s="324">
        <v>396</v>
      </c>
      <c r="J324" s="324">
        <v>0</v>
      </c>
      <c r="K324" s="321">
        <f t="shared" si="5"/>
        <v>0</v>
      </c>
    </row>
    <row r="325" spans="1:11" ht="27.95" customHeight="1" x14ac:dyDescent="0.2">
      <c r="A325" s="323" t="s">
        <v>569</v>
      </c>
      <c r="B325" s="373" t="s">
        <v>570</v>
      </c>
      <c r="C325" s="374"/>
      <c r="D325" s="374"/>
      <c r="E325" s="324">
        <v>0</v>
      </c>
      <c r="F325" s="324">
        <v>106972.86</v>
      </c>
      <c r="H325" s="324">
        <v>106972.86</v>
      </c>
      <c r="J325" s="324">
        <v>0</v>
      </c>
      <c r="K325" s="321">
        <f t="shared" si="5"/>
        <v>0</v>
      </c>
    </row>
    <row r="326" spans="1:11" ht="15.95" customHeight="1" x14ac:dyDescent="0.2">
      <c r="A326" s="323" t="s">
        <v>571</v>
      </c>
      <c r="B326" s="373" t="s">
        <v>572</v>
      </c>
      <c r="C326" s="374"/>
      <c r="D326" s="374"/>
      <c r="E326" s="324">
        <v>0</v>
      </c>
      <c r="F326" s="324">
        <v>6475.84</v>
      </c>
      <c r="H326" s="324">
        <v>6475.84</v>
      </c>
      <c r="J326" s="324">
        <v>0</v>
      </c>
      <c r="K326" s="321">
        <f t="shared" si="5"/>
        <v>0</v>
      </c>
    </row>
    <row r="327" spans="1:11" ht="15.95" customHeight="1" x14ac:dyDescent="0.2">
      <c r="A327" s="323" t="s">
        <v>573</v>
      </c>
      <c r="B327" s="373" t="s">
        <v>574</v>
      </c>
      <c r="C327" s="374"/>
      <c r="D327" s="374"/>
      <c r="E327" s="324">
        <v>0</v>
      </c>
      <c r="F327" s="324">
        <v>31874.06</v>
      </c>
      <c r="H327" s="324">
        <v>31874.06</v>
      </c>
      <c r="J327" s="324">
        <v>0</v>
      </c>
      <c r="K327" s="321">
        <f t="shared" si="5"/>
        <v>0</v>
      </c>
    </row>
    <row r="328" spans="1:11" ht="15.95" customHeight="1" x14ac:dyDescent="0.2">
      <c r="A328" s="323" t="s">
        <v>575</v>
      </c>
      <c r="B328" s="373" t="s">
        <v>576</v>
      </c>
      <c r="C328" s="374"/>
      <c r="D328" s="374"/>
      <c r="E328" s="324">
        <v>-2282.66</v>
      </c>
      <c r="F328" s="324">
        <v>5698.64</v>
      </c>
      <c r="H328" s="324">
        <v>3415.98</v>
      </c>
      <c r="J328" s="324">
        <v>0</v>
      </c>
      <c r="K328" s="321">
        <f t="shared" si="5"/>
        <v>2282.66</v>
      </c>
    </row>
    <row r="329" spans="1:11" ht="15.95" customHeight="1" x14ac:dyDescent="0.2">
      <c r="A329" s="323" t="s">
        <v>1523</v>
      </c>
      <c r="B329" s="373" t="s">
        <v>1524</v>
      </c>
      <c r="C329" s="374"/>
      <c r="D329" s="374"/>
      <c r="E329" s="324">
        <v>-374650.46</v>
      </c>
      <c r="F329" s="324">
        <v>374650.46</v>
      </c>
      <c r="H329" s="324">
        <v>0</v>
      </c>
      <c r="J329" s="324">
        <v>0</v>
      </c>
      <c r="K329" s="321">
        <f t="shared" si="5"/>
        <v>374650.46</v>
      </c>
    </row>
    <row r="330" spans="1:11" ht="15.95" customHeight="1" x14ac:dyDescent="0.2">
      <c r="A330" s="323" t="s">
        <v>577</v>
      </c>
      <c r="B330" s="373" t="s">
        <v>578</v>
      </c>
      <c r="C330" s="374"/>
      <c r="D330" s="374"/>
      <c r="E330" s="324">
        <v>0</v>
      </c>
      <c r="F330" s="324">
        <v>7570</v>
      </c>
      <c r="H330" s="324">
        <v>7570</v>
      </c>
      <c r="J330" s="324">
        <v>0</v>
      </c>
      <c r="K330" s="321">
        <f t="shared" si="5"/>
        <v>0</v>
      </c>
    </row>
    <row r="331" spans="1:11" ht="15.95" customHeight="1" x14ac:dyDescent="0.2">
      <c r="A331" s="323" t="s">
        <v>581</v>
      </c>
      <c r="B331" s="373" t="s">
        <v>582</v>
      </c>
      <c r="C331" s="374"/>
      <c r="D331" s="374"/>
      <c r="E331" s="324">
        <v>0</v>
      </c>
      <c r="F331" s="324">
        <v>549489.15</v>
      </c>
      <c r="H331" s="324">
        <v>549489.15</v>
      </c>
      <c r="J331" s="324">
        <v>0</v>
      </c>
      <c r="K331" s="321">
        <f t="shared" si="5"/>
        <v>0</v>
      </c>
    </row>
    <row r="332" spans="1:11" ht="15.95" customHeight="1" x14ac:dyDescent="0.2">
      <c r="A332" s="323" t="s">
        <v>583</v>
      </c>
      <c r="B332" s="373" t="s">
        <v>584</v>
      </c>
      <c r="C332" s="374"/>
      <c r="D332" s="374"/>
      <c r="E332" s="324">
        <v>-3793.16</v>
      </c>
      <c r="F332" s="324">
        <v>0</v>
      </c>
      <c r="H332" s="324">
        <v>0</v>
      </c>
      <c r="J332" s="324">
        <v>-3793.16</v>
      </c>
      <c r="K332" s="321">
        <f t="shared" si="5"/>
        <v>0</v>
      </c>
    </row>
    <row r="333" spans="1:11" ht="15.95" customHeight="1" x14ac:dyDescent="0.2">
      <c r="A333" s="323" t="s">
        <v>589</v>
      </c>
      <c r="B333" s="373" t="s">
        <v>590</v>
      </c>
      <c r="C333" s="374"/>
      <c r="D333" s="374"/>
      <c r="E333" s="324">
        <v>0</v>
      </c>
      <c r="F333" s="324">
        <v>3174</v>
      </c>
      <c r="H333" s="324">
        <v>3174</v>
      </c>
      <c r="J333" s="324">
        <v>0</v>
      </c>
      <c r="K333" s="321">
        <f t="shared" si="5"/>
        <v>0</v>
      </c>
    </row>
    <row r="334" spans="1:11" ht="15.95" customHeight="1" x14ac:dyDescent="0.2">
      <c r="A334" s="323" t="s">
        <v>1883</v>
      </c>
      <c r="B334" s="373" t="s">
        <v>1884</v>
      </c>
      <c r="C334" s="374"/>
      <c r="D334" s="374"/>
      <c r="E334" s="324">
        <v>0</v>
      </c>
      <c r="F334" s="324">
        <v>14501.44</v>
      </c>
      <c r="H334" s="324">
        <v>14501.44</v>
      </c>
      <c r="J334" s="324">
        <v>0</v>
      </c>
      <c r="K334" s="321">
        <f t="shared" si="5"/>
        <v>0</v>
      </c>
    </row>
    <row r="335" spans="1:11" ht="15.95" customHeight="1" x14ac:dyDescent="0.2">
      <c r="A335" s="323" t="s">
        <v>1531</v>
      </c>
      <c r="B335" s="373" t="s">
        <v>1532</v>
      </c>
      <c r="C335" s="374"/>
      <c r="D335" s="374"/>
      <c r="E335" s="324">
        <v>-207.5</v>
      </c>
      <c r="F335" s="324">
        <v>207.5</v>
      </c>
      <c r="H335" s="324">
        <v>0</v>
      </c>
      <c r="J335" s="324">
        <v>0</v>
      </c>
      <c r="K335" s="321">
        <f t="shared" si="5"/>
        <v>207.5</v>
      </c>
    </row>
    <row r="336" spans="1:11" ht="15.95" customHeight="1" x14ac:dyDescent="0.2">
      <c r="A336" s="323" t="s">
        <v>595</v>
      </c>
      <c r="B336" s="373" t="s">
        <v>596</v>
      </c>
      <c r="C336" s="374"/>
      <c r="D336" s="374"/>
      <c r="E336" s="324">
        <v>0</v>
      </c>
      <c r="F336" s="324">
        <v>790</v>
      </c>
      <c r="H336" s="324">
        <v>790</v>
      </c>
      <c r="J336" s="324">
        <v>0</v>
      </c>
      <c r="K336" s="321">
        <f t="shared" si="5"/>
        <v>0</v>
      </c>
    </row>
    <row r="337" spans="1:11" ht="15.95" customHeight="1" x14ac:dyDescent="0.2">
      <c r="A337" s="323" t="s">
        <v>597</v>
      </c>
      <c r="B337" s="373" t="s">
        <v>598</v>
      </c>
      <c r="C337" s="374"/>
      <c r="D337" s="374"/>
      <c r="E337" s="324">
        <v>0</v>
      </c>
      <c r="F337" s="324">
        <v>1665.56</v>
      </c>
      <c r="H337" s="324">
        <v>1665.56</v>
      </c>
      <c r="J337" s="324">
        <v>0</v>
      </c>
      <c r="K337" s="321">
        <f t="shared" si="5"/>
        <v>0</v>
      </c>
    </row>
    <row r="338" spans="1:11" ht="15.95" customHeight="1" x14ac:dyDescent="0.2">
      <c r="A338" s="325">
        <v>213</v>
      </c>
      <c r="B338" s="375" t="s">
        <v>615</v>
      </c>
      <c r="C338" s="376"/>
      <c r="D338" s="376"/>
      <c r="E338" s="326">
        <v>-2723024.01</v>
      </c>
      <c r="F338" s="326">
        <v>4423283.5</v>
      </c>
      <c r="G338" s="327"/>
      <c r="H338" s="326">
        <v>4841515.2</v>
      </c>
      <c r="I338" s="327"/>
      <c r="J338" s="326">
        <v>-3141255.71</v>
      </c>
      <c r="K338" s="327">
        <f t="shared" si="5"/>
        <v>-418231.70000000019</v>
      </c>
    </row>
    <row r="339" spans="1:11" ht="15.95" customHeight="1" x14ac:dyDescent="0.2">
      <c r="A339" s="323">
        <v>21301</v>
      </c>
      <c r="B339" s="373" t="s">
        <v>615</v>
      </c>
      <c r="C339" s="374"/>
      <c r="D339" s="374"/>
      <c r="E339" s="324">
        <v>-2723024.01</v>
      </c>
      <c r="F339" s="324">
        <v>4423283.5</v>
      </c>
      <c r="H339" s="324">
        <v>4841515.2</v>
      </c>
      <c r="J339" s="324">
        <v>-3141255.71</v>
      </c>
      <c r="K339" s="321">
        <f t="shared" si="5"/>
        <v>-418231.70000000019</v>
      </c>
    </row>
    <row r="340" spans="1:11" ht="15.95" customHeight="1" x14ac:dyDescent="0.2">
      <c r="A340" s="323">
        <v>2130101</v>
      </c>
      <c r="B340" s="373" t="s">
        <v>615</v>
      </c>
      <c r="C340" s="374"/>
      <c r="D340" s="374"/>
      <c r="E340" s="324">
        <v>-2723024.01</v>
      </c>
      <c r="F340" s="324">
        <v>4423283.5</v>
      </c>
      <c r="H340" s="324">
        <v>4841515.2</v>
      </c>
      <c r="J340" s="324">
        <v>-3141255.71</v>
      </c>
      <c r="K340" s="321">
        <f t="shared" si="5"/>
        <v>-418231.70000000019</v>
      </c>
    </row>
    <row r="341" spans="1:11" ht="15.95" customHeight="1" x14ac:dyDescent="0.2">
      <c r="A341" s="323" t="s">
        <v>616</v>
      </c>
      <c r="B341" s="373" t="s">
        <v>617</v>
      </c>
      <c r="C341" s="374"/>
      <c r="D341" s="374"/>
      <c r="E341" s="324">
        <v>-652791.36</v>
      </c>
      <c r="F341" s="324">
        <v>3370381.17</v>
      </c>
      <c r="H341" s="324">
        <v>3521761.57</v>
      </c>
      <c r="J341" s="324">
        <v>-804171.76</v>
      </c>
      <c r="K341" s="321">
        <f t="shared" si="5"/>
        <v>-151380.40000000002</v>
      </c>
    </row>
    <row r="342" spans="1:11" ht="15.95" customHeight="1" x14ac:dyDescent="0.2">
      <c r="A342" s="323" t="s">
        <v>618</v>
      </c>
      <c r="B342" s="373" t="s">
        <v>619</v>
      </c>
      <c r="C342" s="374"/>
      <c r="D342" s="374"/>
      <c r="E342" s="324">
        <v>0</v>
      </c>
      <c r="F342" s="324">
        <v>437341.3</v>
      </c>
      <c r="H342" s="324">
        <v>437341.3</v>
      </c>
      <c r="J342" s="324">
        <v>0</v>
      </c>
      <c r="K342" s="321">
        <f t="shared" si="5"/>
        <v>0</v>
      </c>
    </row>
    <row r="343" spans="1:11" ht="15.95" customHeight="1" x14ac:dyDescent="0.2">
      <c r="A343" s="323" t="s">
        <v>620</v>
      </c>
      <c r="B343" s="373" t="s">
        <v>621</v>
      </c>
      <c r="C343" s="374"/>
      <c r="D343" s="374"/>
      <c r="E343" s="324">
        <v>-88225.48</v>
      </c>
      <c r="F343" s="324">
        <v>562657.87</v>
      </c>
      <c r="H343" s="324">
        <v>715821.91</v>
      </c>
      <c r="J343" s="324">
        <v>-241389.52</v>
      </c>
      <c r="K343" s="321">
        <f t="shared" si="5"/>
        <v>-153164.03999999998</v>
      </c>
    </row>
    <row r="344" spans="1:11" ht="15.95" customHeight="1" x14ac:dyDescent="0.2">
      <c r="A344" s="323" t="s">
        <v>622</v>
      </c>
      <c r="B344" s="373" t="s">
        <v>623</v>
      </c>
      <c r="C344" s="374"/>
      <c r="D344" s="374"/>
      <c r="E344" s="324">
        <v>-1982007.17</v>
      </c>
      <c r="F344" s="324">
        <v>17924.78</v>
      </c>
      <c r="H344" s="324">
        <v>100000</v>
      </c>
      <c r="J344" s="324">
        <v>-2064082.39</v>
      </c>
      <c r="K344" s="321">
        <f t="shared" si="5"/>
        <v>-82075.219999999972</v>
      </c>
    </row>
    <row r="345" spans="1:11" ht="15.95" customHeight="1" x14ac:dyDescent="0.2">
      <c r="A345" s="323" t="s">
        <v>626</v>
      </c>
      <c r="B345" s="373" t="s">
        <v>627</v>
      </c>
      <c r="C345" s="374"/>
      <c r="D345" s="374"/>
      <c r="E345" s="324">
        <v>0</v>
      </c>
      <c r="F345" s="324">
        <v>34978.379999999997</v>
      </c>
      <c r="H345" s="324">
        <v>66590.42</v>
      </c>
      <c r="J345" s="324">
        <v>-31612.04</v>
      </c>
      <c r="K345" s="321">
        <f t="shared" si="5"/>
        <v>-31612.04</v>
      </c>
    </row>
    <row r="346" spans="1:11" ht="15.95" customHeight="1" x14ac:dyDescent="0.2">
      <c r="A346" s="325">
        <v>214</v>
      </c>
      <c r="B346" s="375" t="s">
        <v>628</v>
      </c>
      <c r="C346" s="376"/>
      <c r="D346" s="376"/>
      <c r="E346" s="326">
        <v>-2081822.75</v>
      </c>
      <c r="F346" s="326">
        <v>4096917.36</v>
      </c>
      <c r="G346" s="327"/>
      <c r="H346" s="326">
        <v>4120333.2</v>
      </c>
      <c r="I346" s="327"/>
      <c r="J346" s="326">
        <v>-2105238.59</v>
      </c>
      <c r="K346" s="327">
        <f t="shared" si="5"/>
        <v>-23415.839999999851</v>
      </c>
    </row>
    <row r="347" spans="1:11" ht="15.95" customHeight="1" x14ac:dyDescent="0.2">
      <c r="A347" s="323">
        <v>21401</v>
      </c>
      <c r="B347" s="373" t="s">
        <v>628</v>
      </c>
      <c r="C347" s="374"/>
      <c r="D347" s="374"/>
      <c r="E347" s="324">
        <v>-2081822.75</v>
      </c>
      <c r="F347" s="324">
        <v>4096917.36</v>
      </c>
      <c r="H347" s="324">
        <v>4120333.2</v>
      </c>
      <c r="J347" s="324">
        <v>-2105238.59</v>
      </c>
      <c r="K347" s="321">
        <f t="shared" si="5"/>
        <v>-23415.839999999851</v>
      </c>
    </row>
    <row r="348" spans="1:11" ht="15.95" customHeight="1" x14ac:dyDescent="0.2">
      <c r="A348" s="323">
        <v>2140101</v>
      </c>
      <c r="B348" s="373" t="s">
        <v>628</v>
      </c>
      <c r="C348" s="374"/>
      <c r="D348" s="374"/>
      <c r="E348" s="324">
        <v>-2081822.75</v>
      </c>
      <c r="F348" s="324">
        <v>4096917.36</v>
      </c>
      <c r="H348" s="324">
        <v>4120333.2</v>
      </c>
      <c r="J348" s="324">
        <v>-2105238.59</v>
      </c>
      <c r="K348" s="321">
        <f t="shared" si="5"/>
        <v>-23415.839999999851</v>
      </c>
    </row>
    <row r="349" spans="1:11" ht="15.95" customHeight="1" x14ac:dyDescent="0.2">
      <c r="A349" s="323" t="s">
        <v>629</v>
      </c>
      <c r="B349" s="373" t="s">
        <v>630</v>
      </c>
      <c r="C349" s="374"/>
      <c r="D349" s="374"/>
      <c r="E349" s="324">
        <v>-425350.8</v>
      </c>
      <c r="F349" s="324">
        <v>1280777.5900000001</v>
      </c>
      <c r="H349" s="324">
        <v>1258427.4099999999</v>
      </c>
      <c r="J349" s="324">
        <v>-403000.62</v>
      </c>
      <c r="K349" s="321">
        <f t="shared" si="5"/>
        <v>22350.179999999993</v>
      </c>
    </row>
    <row r="350" spans="1:11" ht="15.95" customHeight="1" x14ac:dyDescent="0.2">
      <c r="A350" s="323" t="s">
        <v>631</v>
      </c>
      <c r="B350" s="373" t="s">
        <v>632</v>
      </c>
      <c r="C350" s="374"/>
      <c r="D350" s="374"/>
      <c r="E350" s="324">
        <v>-100045.52</v>
      </c>
      <c r="F350" s="324">
        <v>303975.34999999998</v>
      </c>
      <c r="H350" s="324">
        <v>302767.78999999998</v>
      </c>
      <c r="J350" s="324">
        <v>-98837.96</v>
      </c>
      <c r="K350" s="321">
        <f t="shared" si="5"/>
        <v>1207.5599999999977</v>
      </c>
    </row>
    <row r="351" spans="1:11" ht="15.95" customHeight="1" x14ac:dyDescent="0.2">
      <c r="A351" s="323" t="s">
        <v>633</v>
      </c>
      <c r="B351" s="373" t="s">
        <v>634</v>
      </c>
      <c r="C351" s="374"/>
      <c r="D351" s="374"/>
      <c r="E351" s="324">
        <v>-629815.68000000005</v>
      </c>
      <c r="F351" s="324">
        <v>209938.56</v>
      </c>
      <c r="H351" s="324">
        <v>209938.56</v>
      </c>
      <c r="J351" s="324">
        <v>-629815.68000000005</v>
      </c>
      <c r="K351" s="321">
        <f t="shared" si="5"/>
        <v>0</v>
      </c>
    </row>
    <row r="352" spans="1:11" ht="15.95" customHeight="1" x14ac:dyDescent="0.2">
      <c r="A352" s="323" t="s">
        <v>635</v>
      </c>
      <c r="B352" s="373" t="s">
        <v>636</v>
      </c>
      <c r="C352" s="374"/>
      <c r="D352" s="374"/>
      <c r="E352" s="324">
        <v>-301338.31</v>
      </c>
      <c r="F352" s="324">
        <v>1035589.82</v>
      </c>
      <c r="H352" s="324">
        <v>1012004.84</v>
      </c>
      <c r="J352" s="324">
        <v>-277753.33</v>
      </c>
      <c r="K352" s="321">
        <f t="shared" si="5"/>
        <v>23584.979999999981</v>
      </c>
    </row>
    <row r="353" spans="1:11" ht="15.95" customHeight="1" x14ac:dyDescent="0.2">
      <c r="A353" s="323" t="s">
        <v>637</v>
      </c>
      <c r="B353" s="373" t="s">
        <v>638</v>
      </c>
      <c r="C353" s="374"/>
      <c r="D353" s="374"/>
      <c r="E353" s="324">
        <v>-65187.839999999997</v>
      </c>
      <c r="F353" s="324">
        <v>224450.6</v>
      </c>
      <c r="H353" s="324">
        <v>219484.95</v>
      </c>
      <c r="J353" s="324">
        <v>-60222.19</v>
      </c>
      <c r="K353" s="321">
        <f t="shared" si="5"/>
        <v>4965.6499999999942</v>
      </c>
    </row>
    <row r="354" spans="1:11" ht="15.95" customHeight="1" x14ac:dyDescent="0.2">
      <c r="A354" s="323" t="s">
        <v>639</v>
      </c>
      <c r="B354" s="373" t="s">
        <v>640</v>
      </c>
      <c r="C354" s="374"/>
      <c r="D354" s="374"/>
      <c r="E354" s="324">
        <v>-262.11</v>
      </c>
      <c r="F354" s="324">
        <v>38547.58</v>
      </c>
      <c r="H354" s="324">
        <v>37108.019999999997</v>
      </c>
      <c r="J354" s="324">
        <v>1177.45</v>
      </c>
      <c r="K354" s="321">
        <f t="shared" si="5"/>
        <v>1439.56</v>
      </c>
    </row>
    <row r="355" spans="1:11" ht="15.95" customHeight="1" x14ac:dyDescent="0.2">
      <c r="A355" s="323" t="s">
        <v>641</v>
      </c>
      <c r="B355" s="373" t="s">
        <v>642</v>
      </c>
      <c r="C355" s="374"/>
      <c r="D355" s="374"/>
      <c r="E355" s="324">
        <v>-77242.539999999994</v>
      </c>
      <c r="F355" s="324">
        <v>278384.73</v>
      </c>
      <c r="H355" s="324">
        <v>283443.15999999997</v>
      </c>
      <c r="J355" s="324">
        <v>-82300.97</v>
      </c>
      <c r="K355" s="321">
        <f t="shared" si="5"/>
        <v>-5058.4300000000076</v>
      </c>
    </row>
    <row r="356" spans="1:11" ht="15.95" customHeight="1" x14ac:dyDescent="0.2">
      <c r="A356" s="323" t="s">
        <v>643</v>
      </c>
      <c r="B356" s="373" t="s">
        <v>644</v>
      </c>
      <c r="C356" s="374"/>
      <c r="D356" s="374"/>
      <c r="E356" s="324">
        <v>-32512.89</v>
      </c>
      <c r="F356" s="324">
        <v>100323.35</v>
      </c>
      <c r="H356" s="324">
        <v>99844.27</v>
      </c>
      <c r="J356" s="324">
        <v>-32033.81</v>
      </c>
      <c r="K356" s="321">
        <f t="shared" si="5"/>
        <v>479.07999999999811</v>
      </c>
    </row>
    <row r="357" spans="1:11" ht="15.95" customHeight="1" x14ac:dyDescent="0.2">
      <c r="A357" s="323" t="s">
        <v>645</v>
      </c>
      <c r="B357" s="373" t="s">
        <v>646</v>
      </c>
      <c r="C357" s="374"/>
      <c r="D357" s="374"/>
      <c r="E357" s="324">
        <v>-219403.1</v>
      </c>
      <c r="F357" s="324">
        <v>343203.52</v>
      </c>
      <c r="H357" s="324">
        <v>418600.07</v>
      </c>
      <c r="J357" s="324">
        <v>-294799.65000000002</v>
      </c>
      <c r="K357" s="321">
        <f t="shared" si="5"/>
        <v>-75396.550000000017</v>
      </c>
    </row>
    <row r="358" spans="1:11" ht="15.95" customHeight="1" x14ac:dyDescent="0.2">
      <c r="A358" s="323" t="s">
        <v>647</v>
      </c>
      <c r="B358" s="373" t="s">
        <v>648</v>
      </c>
      <c r="C358" s="374"/>
      <c r="D358" s="374"/>
      <c r="E358" s="324">
        <v>-91268.67</v>
      </c>
      <c r="F358" s="324">
        <v>267745.09000000003</v>
      </c>
      <c r="H358" s="324">
        <v>264732.96000000002</v>
      </c>
      <c r="J358" s="324">
        <v>-88256.54</v>
      </c>
      <c r="K358" s="321">
        <f t="shared" si="5"/>
        <v>3012.1300000000047</v>
      </c>
    </row>
    <row r="359" spans="1:11" ht="15.95" customHeight="1" x14ac:dyDescent="0.2">
      <c r="A359" s="323" t="s">
        <v>649</v>
      </c>
      <c r="B359" s="373" t="s">
        <v>650</v>
      </c>
      <c r="C359" s="374"/>
      <c r="D359" s="374"/>
      <c r="E359" s="324">
        <v>-83470.55</v>
      </c>
      <c r="F359" s="324">
        <v>0</v>
      </c>
      <c r="H359" s="324">
        <v>0</v>
      </c>
      <c r="J359" s="324">
        <v>-83470.55</v>
      </c>
      <c r="K359" s="321">
        <f t="shared" si="5"/>
        <v>0</v>
      </c>
    </row>
    <row r="360" spans="1:11" ht="15.95" customHeight="1" x14ac:dyDescent="0.2">
      <c r="A360" s="323" t="s">
        <v>651</v>
      </c>
      <c r="B360" s="373" t="s">
        <v>652</v>
      </c>
      <c r="C360" s="374"/>
      <c r="D360" s="374"/>
      <c r="E360" s="324">
        <v>-55924.74</v>
      </c>
      <c r="F360" s="324">
        <v>13981.17</v>
      </c>
      <c r="H360" s="324">
        <v>13981.17</v>
      </c>
      <c r="J360" s="324">
        <v>-55924.74</v>
      </c>
      <c r="K360" s="321">
        <f t="shared" si="5"/>
        <v>0</v>
      </c>
    </row>
    <row r="361" spans="1:11" ht="15.95" customHeight="1" x14ac:dyDescent="0.2">
      <c r="A361" s="325">
        <v>215</v>
      </c>
      <c r="B361" s="375" t="s">
        <v>655</v>
      </c>
      <c r="C361" s="376"/>
      <c r="D361" s="376"/>
      <c r="E361" s="326">
        <v>-313734.87</v>
      </c>
      <c r="F361" s="326">
        <v>861956.73</v>
      </c>
      <c r="G361" s="327"/>
      <c r="H361" s="326">
        <v>837792.61</v>
      </c>
      <c r="I361" s="327"/>
      <c r="J361" s="326">
        <v>-289570.75</v>
      </c>
      <c r="K361" s="327">
        <f t="shared" si="5"/>
        <v>24164.119999999995</v>
      </c>
    </row>
    <row r="362" spans="1:11" ht="15.95" customHeight="1" x14ac:dyDescent="0.2">
      <c r="A362" s="323">
        <v>21501</v>
      </c>
      <c r="B362" s="373" t="s">
        <v>655</v>
      </c>
      <c r="C362" s="374"/>
      <c r="D362" s="374"/>
      <c r="E362" s="324">
        <v>-313734.87</v>
      </c>
      <c r="F362" s="324">
        <v>861956.73</v>
      </c>
      <c r="H362" s="324">
        <v>837792.61</v>
      </c>
      <c r="J362" s="324">
        <v>-289570.75</v>
      </c>
      <c r="K362" s="321">
        <f t="shared" si="5"/>
        <v>24164.119999999995</v>
      </c>
    </row>
    <row r="363" spans="1:11" ht="15.95" customHeight="1" x14ac:dyDescent="0.2">
      <c r="A363" s="323">
        <v>2150101</v>
      </c>
      <c r="B363" s="373" t="s">
        <v>656</v>
      </c>
      <c r="C363" s="374"/>
      <c r="D363" s="374"/>
      <c r="E363" s="324">
        <v>-264674.3</v>
      </c>
      <c r="F363" s="324">
        <v>698966.95</v>
      </c>
      <c r="H363" s="324">
        <v>680445.93</v>
      </c>
      <c r="J363" s="324">
        <v>-246153.28</v>
      </c>
      <c r="K363" s="321">
        <f t="shared" si="5"/>
        <v>18521.01999999999</v>
      </c>
    </row>
    <row r="364" spans="1:11" ht="15.95" customHeight="1" x14ac:dyDescent="0.2">
      <c r="A364" s="323" t="s">
        <v>657</v>
      </c>
      <c r="B364" s="373" t="s">
        <v>658</v>
      </c>
      <c r="C364" s="374"/>
      <c r="D364" s="374"/>
      <c r="E364" s="324">
        <v>-120</v>
      </c>
      <c r="F364" s="324">
        <v>360</v>
      </c>
      <c r="H364" s="324">
        <v>360</v>
      </c>
      <c r="J364" s="324">
        <v>-120</v>
      </c>
      <c r="K364" s="321">
        <f t="shared" si="5"/>
        <v>0</v>
      </c>
    </row>
    <row r="365" spans="1:11" ht="15.95" customHeight="1" x14ac:dyDescent="0.2">
      <c r="A365" s="323" t="s">
        <v>659</v>
      </c>
      <c r="B365" s="373" t="s">
        <v>660</v>
      </c>
      <c r="C365" s="374"/>
      <c r="D365" s="374"/>
      <c r="E365" s="324">
        <v>-220482.09</v>
      </c>
      <c r="F365" s="324">
        <v>578980.76</v>
      </c>
      <c r="H365" s="324">
        <v>556251.98</v>
      </c>
      <c r="J365" s="324">
        <v>-197753.31</v>
      </c>
      <c r="K365" s="321">
        <f t="shared" si="5"/>
        <v>22728.78</v>
      </c>
    </row>
    <row r="366" spans="1:11" ht="15.95" customHeight="1" x14ac:dyDescent="0.2">
      <c r="A366" s="323" t="s">
        <v>661</v>
      </c>
      <c r="B366" s="373" t="s">
        <v>662</v>
      </c>
      <c r="C366" s="374"/>
      <c r="D366" s="374"/>
      <c r="E366" s="324">
        <v>-2869.11</v>
      </c>
      <c r="F366" s="324">
        <v>4391.82</v>
      </c>
      <c r="H366" s="324">
        <v>4149.3100000000004</v>
      </c>
      <c r="J366" s="324">
        <v>-2626.6</v>
      </c>
      <c r="K366" s="321">
        <f t="shared" si="5"/>
        <v>242.51000000000022</v>
      </c>
    </row>
    <row r="367" spans="1:11" ht="15.95" customHeight="1" x14ac:dyDescent="0.2">
      <c r="A367" s="323" t="s">
        <v>663</v>
      </c>
      <c r="B367" s="373" t="s">
        <v>664</v>
      </c>
      <c r="C367" s="374"/>
      <c r="D367" s="374"/>
      <c r="E367" s="324">
        <v>-537.58000000000004</v>
      </c>
      <c r="F367" s="324">
        <v>1642.67</v>
      </c>
      <c r="H367" s="324">
        <v>1662.7</v>
      </c>
      <c r="J367" s="324">
        <v>-557.61</v>
      </c>
      <c r="K367" s="321">
        <f t="shared" si="5"/>
        <v>-20.029999999999973</v>
      </c>
    </row>
    <row r="368" spans="1:11" ht="15.95" customHeight="1" x14ac:dyDescent="0.2">
      <c r="A368" s="323" t="s">
        <v>665</v>
      </c>
      <c r="B368" s="373" t="s">
        <v>666</v>
      </c>
      <c r="C368" s="374"/>
      <c r="D368" s="374"/>
      <c r="E368" s="324">
        <v>-481.82</v>
      </c>
      <c r="F368" s="324">
        <v>1413.43</v>
      </c>
      <c r="H368" s="324">
        <v>1424.41</v>
      </c>
      <c r="J368" s="324">
        <v>-492.8</v>
      </c>
      <c r="K368" s="321">
        <f t="shared" si="5"/>
        <v>-10.980000000000018</v>
      </c>
    </row>
    <row r="369" spans="1:11" ht="15.95" customHeight="1" x14ac:dyDescent="0.2">
      <c r="A369" s="323" t="s">
        <v>667</v>
      </c>
      <c r="B369" s="373" t="s">
        <v>668</v>
      </c>
      <c r="C369" s="374"/>
      <c r="D369" s="374"/>
      <c r="E369" s="324">
        <v>0</v>
      </c>
      <c r="F369" s="324">
        <v>4065.58</v>
      </c>
      <c r="H369" s="324">
        <v>6272.05</v>
      </c>
      <c r="J369" s="324">
        <v>-2206.4699999999998</v>
      </c>
      <c r="K369" s="321">
        <f t="shared" si="5"/>
        <v>-2206.4699999999998</v>
      </c>
    </row>
    <row r="370" spans="1:11" ht="15.95" customHeight="1" x14ac:dyDescent="0.2">
      <c r="A370" s="323" t="s">
        <v>669</v>
      </c>
      <c r="B370" s="373" t="s">
        <v>670</v>
      </c>
      <c r="C370" s="374"/>
      <c r="D370" s="374"/>
      <c r="E370" s="324">
        <v>-24022.639999999999</v>
      </c>
      <c r="F370" s="324">
        <v>83682.929999999993</v>
      </c>
      <c r="H370" s="324">
        <v>87193.11</v>
      </c>
      <c r="J370" s="324">
        <v>-27532.82</v>
      </c>
      <c r="K370" s="321">
        <f t="shared" si="5"/>
        <v>-3510.1800000000003</v>
      </c>
    </row>
    <row r="371" spans="1:11" ht="15.95" customHeight="1" x14ac:dyDescent="0.2">
      <c r="A371" s="323" t="s">
        <v>671</v>
      </c>
      <c r="B371" s="373" t="s">
        <v>672</v>
      </c>
      <c r="C371" s="374"/>
      <c r="D371" s="374"/>
      <c r="E371" s="324">
        <v>-14833.42</v>
      </c>
      <c r="F371" s="324">
        <v>20343.87</v>
      </c>
      <c r="H371" s="324">
        <v>19553.560000000001</v>
      </c>
      <c r="J371" s="324">
        <v>-14043.11</v>
      </c>
      <c r="K371" s="321">
        <f t="shared" si="5"/>
        <v>790.30999999999949</v>
      </c>
    </row>
    <row r="372" spans="1:11" ht="15.95" customHeight="1" x14ac:dyDescent="0.2">
      <c r="A372" s="323" t="s">
        <v>673</v>
      </c>
      <c r="B372" s="373" t="s">
        <v>674</v>
      </c>
      <c r="C372" s="374"/>
      <c r="D372" s="374"/>
      <c r="E372" s="324">
        <v>-800</v>
      </c>
      <c r="F372" s="324">
        <v>200</v>
      </c>
      <c r="H372" s="324">
        <v>0</v>
      </c>
      <c r="J372" s="324">
        <v>-600</v>
      </c>
      <c r="K372" s="321">
        <f t="shared" si="5"/>
        <v>200</v>
      </c>
    </row>
    <row r="373" spans="1:11" ht="15.95" customHeight="1" x14ac:dyDescent="0.2">
      <c r="A373" s="323" t="s">
        <v>675</v>
      </c>
      <c r="B373" s="373" t="s">
        <v>676</v>
      </c>
      <c r="C373" s="374"/>
      <c r="D373" s="374"/>
      <c r="E373" s="324">
        <v>-94.4</v>
      </c>
      <c r="F373" s="324">
        <v>188.8</v>
      </c>
      <c r="H373" s="324">
        <v>141.6</v>
      </c>
      <c r="J373" s="324">
        <v>-47.2</v>
      </c>
      <c r="K373" s="321">
        <f t="shared" si="5"/>
        <v>47.2</v>
      </c>
    </row>
    <row r="374" spans="1:11" ht="15.95" customHeight="1" x14ac:dyDescent="0.2">
      <c r="A374" s="323" t="s">
        <v>677</v>
      </c>
      <c r="B374" s="373" t="s">
        <v>678</v>
      </c>
      <c r="C374" s="374"/>
      <c r="D374" s="374"/>
      <c r="E374" s="324">
        <v>-433.24</v>
      </c>
      <c r="F374" s="324">
        <v>3697.09</v>
      </c>
      <c r="H374" s="324">
        <v>3437.21</v>
      </c>
      <c r="J374" s="324">
        <v>-173.36</v>
      </c>
      <c r="K374" s="321">
        <f t="shared" si="5"/>
        <v>259.88</v>
      </c>
    </row>
    <row r="375" spans="1:11" ht="15.95" customHeight="1" x14ac:dyDescent="0.2">
      <c r="A375" s="323">
        <v>2150102</v>
      </c>
      <c r="B375" s="373" t="s">
        <v>679</v>
      </c>
      <c r="C375" s="374"/>
      <c r="D375" s="374"/>
      <c r="E375" s="324">
        <v>-49060.57</v>
      </c>
      <c r="F375" s="324">
        <v>162989.78</v>
      </c>
      <c r="H375" s="324">
        <v>157346.68</v>
      </c>
      <c r="J375" s="324">
        <v>-43417.47</v>
      </c>
      <c r="K375" s="321">
        <f t="shared" si="5"/>
        <v>5643.0999999999985</v>
      </c>
    </row>
    <row r="376" spans="1:11" ht="15.95" customHeight="1" x14ac:dyDescent="0.2">
      <c r="A376" s="323" t="s">
        <v>680</v>
      </c>
      <c r="B376" s="373" t="s">
        <v>681</v>
      </c>
      <c r="C376" s="374"/>
      <c r="D376" s="374"/>
      <c r="E376" s="324">
        <v>-33924.25</v>
      </c>
      <c r="F376" s="324">
        <v>121635.32</v>
      </c>
      <c r="H376" s="324">
        <v>120765.44</v>
      </c>
      <c r="J376" s="324">
        <v>-33054.370000000003</v>
      </c>
      <c r="K376" s="321">
        <f t="shared" si="5"/>
        <v>869.87999999999738</v>
      </c>
    </row>
    <row r="377" spans="1:11" ht="15.95" customHeight="1" x14ac:dyDescent="0.2">
      <c r="A377" s="323" t="s">
        <v>682</v>
      </c>
      <c r="B377" s="373" t="s">
        <v>683</v>
      </c>
      <c r="C377" s="374"/>
      <c r="D377" s="374"/>
      <c r="E377" s="324">
        <v>-11813.08</v>
      </c>
      <c r="F377" s="324">
        <v>31384.42</v>
      </c>
      <c r="H377" s="324">
        <v>26770.34</v>
      </c>
      <c r="J377" s="324">
        <v>-7199</v>
      </c>
      <c r="K377" s="321">
        <f t="shared" si="5"/>
        <v>4614.08</v>
      </c>
    </row>
    <row r="378" spans="1:11" ht="15.95" customHeight="1" x14ac:dyDescent="0.2">
      <c r="A378" s="323" t="s">
        <v>684</v>
      </c>
      <c r="B378" s="373" t="s">
        <v>685</v>
      </c>
      <c r="C378" s="374"/>
      <c r="D378" s="374"/>
      <c r="E378" s="324">
        <v>-3323.24</v>
      </c>
      <c r="F378" s="324">
        <v>9970.0400000000009</v>
      </c>
      <c r="H378" s="324">
        <v>9810.9</v>
      </c>
      <c r="J378" s="324">
        <v>-3164.1</v>
      </c>
      <c r="K378" s="321">
        <f t="shared" si="5"/>
        <v>159.13999999999987</v>
      </c>
    </row>
    <row r="379" spans="1:11" ht="27.95" customHeight="1" x14ac:dyDescent="0.2">
      <c r="A379" s="325">
        <v>217</v>
      </c>
      <c r="B379" s="375" t="s">
        <v>686</v>
      </c>
      <c r="C379" s="376"/>
      <c r="D379" s="376"/>
      <c r="E379" s="326">
        <v>-3847907.21</v>
      </c>
      <c r="F379" s="326">
        <v>620652.26</v>
      </c>
      <c r="G379" s="327"/>
      <c r="H379" s="326">
        <v>871912.68</v>
      </c>
      <c r="I379" s="327"/>
      <c r="J379" s="326">
        <v>-4099167.63</v>
      </c>
      <c r="K379" s="327">
        <f t="shared" si="5"/>
        <v>-251260.41999999993</v>
      </c>
    </row>
    <row r="380" spans="1:11" ht="15.95" customHeight="1" x14ac:dyDescent="0.2">
      <c r="A380" s="323">
        <v>21701</v>
      </c>
      <c r="B380" s="373" t="s">
        <v>686</v>
      </c>
      <c r="C380" s="374"/>
      <c r="D380" s="374"/>
      <c r="E380" s="324">
        <v>-3847907.21</v>
      </c>
      <c r="F380" s="324">
        <v>620652.26</v>
      </c>
      <c r="H380" s="324">
        <v>871912.68</v>
      </c>
      <c r="J380" s="324">
        <v>-4099167.63</v>
      </c>
      <c r="K380" s="321">
        <f t="shared" si="5"/>
        <v>-251260.41999999993</v>
      </c>
    </row>
    <row r="381" spans="1:11" ht="15.95" customHeight="1" x14ac:dyDescent="0.2">
      <c r="A381" s="323">
        <v>2170101</v>
      </c>
      <c r="B381" s="373" t="s">
        <v>687</v>
      </c>
      <c r="C381" s="374"/>
      <c r="D381" s="374"/>
      <c r="E381" s="324">
        <v>-23810.44</v>
      </c>
      <c r="F381" s="324">
        <v>0</v>
      </c>
      <c r="H381" s="324">
        <v>0</v>
      </c>
      <c r="J381" s="324">
        <v>-23810.44</v>
      </c>
      <c r="K381" s="321">
        <f t="shared" si="5"/>
        <v>0</v>
      </c>
    </row>
    <row r="382" spans="1:11" ht="15.95" customHeight="1" x14ac:dyDescent="0.2">
      <c r="A382" s="323" t="s">
        <v>688</v>
      </c>
      <c r="B382" s="373" t="s">
        <v>689</v>
      </c>
      <c r="C382" s="374"/>
      <c r="D382" s="374"/>
      <c r="E382" s="324">
        <v>-6700</v>
      </c>
      <c r="F382" s="324">
        <v>0</v>
      </c>
      <c r="H382" s="324">
        <v>0</v>
      </c>
      <c r="J382" s="324">
        <v>-6700</v>
      </c>
      <c r="K382" s="321">
        <f t="shared" si="5"/>
        <v>0</v>
      </c>
    </row>
    <row r="383" spans="1:11" ht="15.95" customHeight="1" x14ac:dyDescent="0.2">
      <c r="A383" s="323" t="s">
        <v>690</v>
      </c>
      <c r="B383" s="373" t="s">
        <v>691</v>
      </c>
      <c r="C383" s="374"/>
      <c r="D383" s="374"/>
      <c r="E383" s="324">
        <v>-3115</v>
      </c>
      <c r="F383" s="324">
        <v>0</v>
      </c>
      <c r="H383" s="324">
        <v>0</v>
      </c>
      <c r="J383" s="324">
        <v>-3115</v>
      </c>
      <c r="K383" s="321">
        <f t="shared" si="5"/>
        <v>0</v>
      </c>
    </row>
    <row r="384" spans="1:11" ht="15.95" customHeight="1" x14ac:dyDescent="0.2">
      <c r="A384" s="323" t="s">
        <v>692</v>
      </c>
      <c r="B384" s="373" t="s">
        <v>693</v>
      </c>
      <c r="C384" s="374"/>
      <c r="D384" s="374"/>
      <c r="E384" s="324">
        <v>-2856</v>
      </c>
      <c r="F384" s="324">
        <v>0</v>
      </c>
      <c r="H384" s="324">
        <v>0</v>
      </c>
      <c r="J384" s="324">
        <v>-2856</v>
      </c>
      <c r="K384" s="321">
        <f t="shared" si="5"/>
        <v>0</v>
      </c>
    </row>
    <row r="385" spans="1:11" ht="15.95" customHeight="1" x14ac:dyDescent="0.2">
      <c r="A385" s="323" t="s">
        <v>694</v>
      </c>
      <c r="B385" s="373" t="s">
        <v>695</v>
      </c>
      <c r="C385" s="374"/>
      <c r="D385" s="374"/>
      <c r="E385" s="324">
        <v>-2000</v>
      </c>
      <c r="F385" s="324">
        <v>0</v>
      </c>
      <c r="H385" s="324">
        <v>0</v>
      </c>
      <c r="J385" s="324">
        <v>-2000</v>
      </c>
      <c r="K385" s="321">
        <f t="shared" si="5"/>
        <v>0</v>
      </c>
    </row>
    <row r="386" spans="1:11" ht="15.95" customHeight="1" x14ac:dyDescent="0.2">
      <c r="A386" s="323" t="s">
        <v>696</v>
      </c>
      <c r="B386" s="373" t="s">
        <v>697</v>
      </c>
      <c r="C386" s="374"/>
      <c r="D386" s="374"/>
      <c r="E386" s="324">
        <v>-5899.2</v>
      </c>
      <c r="F386" s="324">
        <v>0</v>
      </c>
      <c r="H386" s="324">
        <v>0</v>
      </c>
      <c r="J386" s="324">
        <v>-5899.2</v>
      </c>
      <c r="K386" s="321">
        <f t="shared" si="5"/>
        <v>0</v>
      </c>
    </row>
    <row r="387" spans="1:11" ht="15.95" customHeight="1" x14ac:dyDescent="0.2">
      <c r="A387" s="323" t="s">
        <v>698</v>
      </c>
      <c r="B387" s="373" t="s">
        <v>699</v>
      </c>
      <c r="C387" s="374"/>
      <c r="D387" s="374"/>
      <c r="E387" s="324">
        <v>-840.24</v>
      </c>
      <c r="F387" s="324">
        <v>0</v>
      </c>
      <c r="H387" s="324">
        <v>0</v>
      </c>
      <c r="J387" s="324">
        <v>-840.24</v>
      </c>
      <c r="K387" s="321">
        <f t="shared" ref="K387:K450" si="6">J387-E387</f>
        <v>0</v>
      </c>
    </row>
    <row r="388" spans="1:11" ht="15.95" customHeight="1" x14ac:dyDescent="0.2">
      <c r="A388" s="323" t="s">
        <v>700</v>
      </c>
      <c r="B388" s="373" t="s">
        <v>701</v>
      </c>
      <c r="C388" s="374"/>
      <c r="D388" s="374"/>
      <c r="E388" s="324">
        <v>-2400</v>
      </c>
      <c r="F388" s="324">
        <v>0</v>
      </c>
      <c r="H388" s="324">
        <v>0</v>
      </c>
      <c r="J388" s="324">
        <v>-2400</v>
      </c>
      <c r="K388" s="321">
        <f t="shared" si="6"/>
        <v>0</v>
      </c>
    </row>
    <row r="389" spans="1:11" ht="15.95" customHeight="1" x14ac:dyDescent="0.2">
      <c r="A389" s="323">
        <v>2170102</v>
      </c>
      <c r="B389" s="373" t="s">
        <v>710</v>
      </c>
      <c r="C389" s="374"/>
      <c r="D389" s="374"/>
      <c r="E389" s="324">
        <v>-1037156.85</v>
      </c>
      <c r="F389" s="324">
        <v>620652.26</v>
      </c>
      <c r="H389" s="324">
        <v>871902.48</v>
      </c>
      <c r="J389" s="324">
        <v>-1288407.07</v>
      </c>
      <c r="K389" s="321">
        <f t="shared" si="6"/>
        <v>-251250.22000000009</v>
      </c>
    </row>
    <row r="390" spans="1:11" ht="15.95" customHeight="1" x14ac:dyDescent="0.2">
      <c r="A390" s="323" t="s">
        <v>711</v>
      </c>
      <c r="B390" s="373" t="s">
        <v>712</v>
      </c>
      <c r="C390" s="374"/>
      <c r="D390" s="374"/>
      <c r="E390" s="324">
        <v>-482690.42</v>
      </c>
      <c r="F390" s="324">
        <v>0</v>
      </c>
      <c r="H390" s="324">
        <v>0</v>
      </c>
      <c r="J390" s="324">
        <v>-482690.42</v>
      </c>
      <c r="K390" s="321">
        <f t="shared" si="6"/>
        <v>0</v>
      </c>
    </row>
    <row r="391" spans="1:11" ht="15.95" customHeight="1" x14ac:dyDescent="0.2">
      <c r="A391" s="323" t="s">
        <v>713</v>
      </c>
      <c r="B391" s="373" t="s">
        <v>714</v>
      </c>
      <c r="C391" s="374"/>
      <c r="D391" s="374"/>
      <c r="E391" s="324">
        <v>-34.72</v>
      </c>
      <c r="F391" s="324">
        <v>0</v>
      </c>
      <c r="H391" s="324">
        <v>0</v>
      </c>
      <c r="J391" s="324">
        <v>-34.72</v>
      </c>
      <c r="K391" s="321">
        <f t="shared" si="6"/>
        <v>0</v>
      </c>
    </row>
    <row r="392" spans="1:11" ht="15.95" customHeight="1" x14ac:dyDescent="0.2">
      <c r="A392" s="323" t="s">
        <v>715</v>
      </c>
      <c r="B392" s="373" t="s">
        <v>716</v>
      </c>
      <c r="C392" s="374"/>
      <c r="D392" s="374"/>
      <c r="E392" s="324">
        <v>-11718.89</v>
      </c>
      <c r="F392" s="324">
        <v>0</v>
      </c>
      <c r="H392" s="324">
        <v>0</v>
      </c>
      <c r="J392" s="324">
        <v>-11718.89</v>
      </c>
      <c r="K392" s="321">
        <f t="shared" si="6"/>
        <v>0</v>
      </c>
    </row>
    <row r="393" spans="1:11" ht="15.95" customHeight="1" x14ac:dyDescent="0.2">
      <c r="A393" s="323" t="s">
        <v>717</v>
      </c>
      <c r="B393" s="373" t="s">
        <v>718</v>
      </c>
      <c r="C393" s="374"/>
      <c r="D393" s="374"/>
      <c r="E393" s="324">
        <v>-229.87</v>
      </c>
      <c r="F393" s="324">
        <v>0</v>
      </c>
      <c r="H393" s="324">
        <v>0</v>
      </c>
      <c r="J393" s="324">
        <v>-229.87</v>
      </c>
      <c r="K393" s="321">
        <f t="shared" si="6"/>
        <v>0</v>
      </c>
    </row>
    <row r="394" spans="1:11" ht="15.95" customHeight="1" x14ac:dyDescent="0.2">
      <c r="A394" s="323" t="s">
        <v>719</v>
      </c>
      <c r="B394" s="373" t="s">
        <v>720</v>
      </c>
      <c r="C394" s="374"/>
      <c r="D394" s="374"/>
      <c r="E394" s="324">
        <v>-3084.5</v>
      </c>
      <c r="F394" s="324">
        <v>0</v>
      </c>
      <c r="H394" s="324">
        <v>0</v>
      </c>
      <c r="J394" s="324">
        <v>-3084.5</v>
      </c>
      <c r="K394" s="321">
        <f t="shared" si="6"/>
        <v>0</v>
      </c>
    </row>
    <row r="395" spans="1:11" ht="15.95" customHeight="1" x14ac:dyDescent="0.2">
      <c r="A395" s="323" t="s">
        <v>721</v>
      </c>
      <c r="B395" s="373" t="s">
        <v>722</v>
      </c>
      <c r="C395" s="374"/>
      <c r="D395" s="374"/>
      <c r="E395" s="324">
        <v>-105.52</v>
      </c>
      <c r="F395" s="324">
        <v>0</v>
      </c>
      <c r="H395" s="324">
        <v>0</v>
      </c>
      <c r="J395" s="324">
        <v>-105.52</v>
      </c>
      <c r="K395" s="321">
        <f t="shared" si="6"/>
        <v>0</v>
      </c>
    </row>
    <row r="396" spans="1:11" ht="15.95" customHeight="1" x14ac:dyDescent="0.2">
      <c r="A396" s="323" t="s">
        <v>725</v>
      </c>
      <c r="B396" s="373" t="s">
        <v>726</v>
      </c>
      <c r="C396" s="374"/>
      <c r="D396" s="374"/>
      <c r="E396" s="324">
        <v>-196.05</v>
      </c>
      <c r="F396" s="324">
        <v>0</v>
      </c>
      <c r="H396" s="324">
        <v>0</v>
      </c>
      <c r="J396" s="324">
        <v>-196.05</v>
      </c>
      <c r="K396" s="321">
        <f t="shared" si="6"/>
        <v>0</v>
      </c>
    </row>
    <row r="397" spans="1:11" ht="15.95" customHeight="1" x14ac:dyDescent="0.2">
      <c r="A397" s="323" t="s">
        <v>727</v>
      </c>
      <c r="B397" s="373" t="s">
        <v>728</v>
      </c>
      <c r="C397" s="374"/>
      <c r="D397" s="374"/>
      <c r="E397" s="324">
        <v>-304.98</v>
      </c>
      <c r="F397" s="324">
        <v>0</v>
      </c>
      <c r="H397" s="324">
        <v>0</v>
      </c>
      <c r="J397" s="324">
        <v>-304.98</v>
      </c>
      <c r="K397" s="321">
        <f t="shared" si="6"/>
        <v>0</v>
      </c>
    </row>
    <row r="398" spans="1:11" ht="15.95" customHeight="1" x14ac:dyDescent="0.2">
      <c r="A398" s="323" t="s">
        <v>729</v>
      </c>
      <c r="B398" s="373" t="s">
        <v>730</v>
      </c>
      <c r="C398" s="374"/>
      <c r="D398" s="374"/>
      <c r="E398" s="324">
        <v>-6</v>
      </c>
      <c r="F398" s="324">
        <v>0</v>
      </c>
      <c r="H398" s="324">
        <v>0</v>
      </c>
      <c r="J398" s="324">
        <v>-6</v>
      </c>
      <c r="K398" s="321">
        <f t="shared" si="6"/>
        <v>0</v>
      </c>
    </row>
    <row r="399" spans="1:11" ht="15.95" customHeight="1" x14ac:dyDescent="0.2">
      <c r="A399" s="323" t="s">
        <v>731</v>
      </c>
      <c r="B399" s="373" t="s">
        <v>732</v>
      </c>
      <c r="C399" s="374"/>
      <c r="D399" s="374"/>
      <c r="E399" s="324">
        <v>-912.44</v>
      </c>
      <c r="F399" s="324">
        <v>0</v>
      </c>
      <c r="H399" s="324">
        <v>0</v>
      </c>
      <c r="J399" s="324">
        <v>-912.44</v>
      </c>
      <c r="K399" s="321">
        <f t="shared" si="6"/>
        <v>0</v>
      </c>
    </row>
    <row r="400" spans="1:11" ht="15.95" customHeight="1" x14ac:dyDescent="0.2">
      <c r="A400" s="323" t="s">
        <v>733</v>
      </c>
      <c r="B400" s="373" t="s">
        <v>734</v>
      </c>
      <c r="C400" s="374"/>
      <c r="D400" s="374"/>
      <c r="E400" s="324">
        <v>-1209.05</v>
      </c>
      <c r="F400" s="324">
        <v>1209.05</v>
      </c>
      <c r="H400" s="324">
        <v>692.25</v>
      </c>
      <c r="J400" s="324">
        <v>-692.25</v>
      </c>
      <c r="K400" s="321">
        <f t="shared" si="6"/>
        <v>516.79999999999995</v>
      </c>
    </row>
    <row r="401" spans="1:11" ht="15.95" customHeight="1" x14ac:dyDescent="0.2">
      <c r="A401" s="323" t="s">
        <v>735</v>
      </c>
      <c r="B401" s="373" t="s">
        <v>736</v>
      </c>
      <c r="C401" s="374"/>
      <c r="D401" s="374"/>
      <c r="E401" s="324">
        <v>-76.84</v>
      </c>
      <c r="F401" s="324">
        <v>0</v>
      </c>
      <c r="H401" s="324">
        <v>0</v>
      </c>
      <c r="J401" s="324">
        <v>-76.84</v>
      </c>
      <c r="K401" s="321">
        <f t="shared" si="6"/>
        <v>0</v>
      </c>
    </row>
    <row r="402" spans="1:11" ht="15.95" customHeight="1" x14ac:dyDescent="0.2">
      <c r="A402" s="323" t="s">
        <v>737</v>
      </c>
      <c r="B402" s="373" t="s">
        <v>738</v>
      </c>
      <c r="C402" s="374"/>
      <c r="D402" s="374"/>
      <c r="E402" s="324">
        <v>-144.33000000000001</v>
      </c>
      <c r="F402" s="324">
        <v>0</v>
      </c>
      <c r="H402" s="324">
        <v>0</v>
      </c>
      <c r="J402" s="324">
        <v>-144.33000000000001</v>
      </c>
      <c r="K402" s="321">
        <f t="shared" si="6"/>
        <v>0</v>
      </c>
    </row>
    <row r="403" spans="1:11" ht="15.95" customHeight="1" x14ac:dyDescent="0.2">
      <c r="A403" s="323" t="s">
        <v>739</v>
      </c>
      <c r="B403" s="373" t="s">
        <v>740</v>
      </c>
      <c r="C403" s="374"/>
      <c r="D403" s="374"/>
      <c r="E403" s="324">
        <v>-175.2</v>
      </c>
      <c r="F403" s="324">
        <v>0</v>
      </c>
      <c r="H403" s="324">
        <v>0</v>
      </c>
      <c r="J403" s="324">
        <v>-175.2</v>
      </c>
      <c r="K403" s="321">
        <f t="shared" si="6"/>
        <v>0</v>
      </c>
    </row>
    <row r="404" spans="1:11" ht="15.95" customHeight="1" x14ac:dyDescent="0.2">
      <c r="A404" s="323" t="s">
        <v>741</v>
      </c>
      <c r="B404" s="373" t="s">
        <v>742</v>
      </c>
      <c r="C404" s="374"/>
      <c r="D404" s="374"/>
      <c r="E404" s="324">
        <v>-436.29</v>
      </c>
      <c r="F404" s="324">
        <v>0</v>
      </c>
      <c r="H404" s="324">
        <v>0</v>
      </c>
      <c r="J404" s="324">
        <v>-436.29</v>
      </c>
      <c r="K404" s="321">
        <f t="shared" si="6"/>
        <v>0</v>
      </c>
    </row>
    <row r="405" spans="1:11" ht="15.95" customHeight="1" x14ac:dyDescent="0.2">
      <c r="A405" s="323" t="s">
        <v>743</v>
      </c>
      <c r="B405" s="373" t="s">
        <v>744</v>
      </c>
      <c r="C405" s="374"/>
      <c r="D405" s="374"/>
      <c r="E405" s="324">
        <v>-67.010000000000005</v>
      </c>
      <c r="F405" s="324">
        <v>0</v>
      </c>
      <c r="H405" s="324">
        <v>0</v>
      </c>
      <c r="J405" s="324">
        <v>-67.010000000000005</v>
      </c>
      <c r="K405" s="321">
        <f t="shared" si="6"/>
        <v>0</v>
      </c>
    </row>
    <row r="406" spans="1:11" ht="15.95" customHeight="1" x14ac:dyDescent="0.2">
      <c r="A406" s="323" t="s">
        <v>745</v>
      </c>
      <c r="B406" s="373" t="s">
        <v>746</v>
      </c>
      <c r="C406" s="374"/>
      <c r="D406" s="374"/>
      <c r="E406" s="324">
        <v>-4644.84</v>
      </c>
      <c r="F406" s="324">
        <v>0</v>
      </c>
      <c r="H406" s="324">
        <v>0</v>
      </c>
      <c r="J406" s="324">
        <v>-4644.84</v>
      </c>
      <c r="K406" s="321">
        <f t="shared" si="6"/>
        <v>0</v>
      </c>
    </row>
    <row r="407" spans="1:11" ht="15.95" customHeight="1" x14ac:dyDescent="0.2">
      <c r="A407" s="323" t="s">
        <v>747</v>
      </c>
      <c r="B407" s="373" t="s">
        <v>748</v>
      </c>
      <c r="C407" s="374"/>
      <c r="D407" s="374"/>
      <c r="E407" s="324">
        <v>-423.16</v>
      </c>
      <c r="F407" s="324">
        <v>0</v>
      </c>
      <c r="H407" s="324">
        <v>0</v>
      </c>
      <c r="J407" s="324">
        <v>-423.16</v>
      </c>
      <c r="K407" s="321">
        <f t="shared" si="6"/>
        <v>0</v>
      </c>
    </row>
    <row r="408" spans="1:11" ht="15.95" customHeight="1" x14ac:dyDescent="0.2">
      <c r="A408" s="323" t="s">
        <v>749</v>
      </c>
      <c r="B408" s="373" t="s">
        <v>750</v>
      </c>
      <c r="C408" s="374"/>
      <c r="D408" s="374"/>
      <c r="E408" s="324">
        <v>-904.46</v>
      </c>
      <c r="F408" s="324">
        <v>0</v>
      </c>
      <c r="H408" s="324">
        <v>0</v>
      </c>
      <c r="J408" s="324">
        <v>-904.46</v>
      </c>
      <c r="K408" s="321">
        <f t="shared" si="6"/>
        <v>0</v>
      </c>
    </row>
    <row r="409" spans="1:11" ht="15.95" customHeight="1" x14ac:dyDescent="0.2">
      <c r="A409" s="323" t="s">
        <v>751</v>
      </c>
      <c r="B409" s="373" t="s">
        <v>752</v>
      </c>
      <c r="C409" s="374"/>
      <c r="D409" s="374"/>
      <c r="E409" s="324">
        <v>-76.56</v>
      </c>
      <c r="F409" s="324">
        <v>0</v>
      </c>
      <c r="H409" s="324">
        <v>0</v>
      </c>
      <c r="J409" s="324">
        <v>-76.56</v>
      </c>
      <c r="K409" s="321">
        <f t="shared" si="6"/>
        <v>0</v>
      </c>
    </row>
    <row r="410" spans="1:11" ht="15.95" customHeight="1" x14ac:dyDescent="0.2">
      <c r="A410" s="323" t="s">
        <v>753</v>
      </c>
      <c r="B410" s="373" t="s">
        <v>754</v>
      </c>
      <c r="C410" s="374"/>
      <c r="D410" s="374"/>
      <c r="E410" s="324">
        <v>-2843.92</v>
      </c>
      <c r="F410" s="324">
        <v>0</v>
      </c>
      <c r="H410" s="324">
        <v>0</v>
      </c>
      <c r="J410" s="324">
        <v>-2843.92</v>
      </c>
      <c r="K410" s="321">
        <f t="shared" si="6"/>
        <v>0</v>
      </c>
    </row>
    <row r="411" spans="1:11" ht="15.95" customHeight="1" x14ac:dyDescent="0.2">
      <c r="A411" s="323" t="s">
        <v>755</v>
      </c>
      <c r="B411" s="373" t="s">
        <v>756</v>
      </c>
      <c r="C411" s="374"/>
      <c r="D411" s="374"/>
      <c r="E411" s="324">
        <v>-274.92</v>
      </c>
      <c r="F411" s="324">
        <v>0</v>
      </c>
      <c r="H411" s="324">
        <v>0</v>
      </c>
      <c r="J411" s="324">
        <v>-274.92</v>
      </c>
      <c r="K411" s="321">
        <f t="shared" si="6"/>
        <v>0</v>
      </c>
    </row>
    <row r="412" spans="1:11" ht="15.95" customHeight="1" x14ac:dyDescent="0.2">
      <c r="A412" s="323" t="s">
        <v>757</v>
      </c>
      <c r="B412" s="373" t="s">
        <v>758</v>
      </c>
      <c r="C412" s="374"/>
      <c r="D412" s="374"/>
      <c r="E412" s="324">
        <v>-247</v>
      </c>
      <c r="F412" s="324">
        <v>0</v>
      </c>
      <c r="H412" s="324">
        <v>0</v>
      </c>
      <c r="J412" s="324">
        <v>-247</v>
      </c>
      <c r="K412" s="321">
        <f t="shared" si="6"/>
        <v>0</v>
      </c>
    </row>
    <row r="413" spans="1:11" ht="15.95" customHeight="1" x14ac:dyDescent="0.2">
      <c r="A413" s="323" t="s">
        <v>759</v>
      </c>
      <c r="B413" s="373" t="s">
        <v>760</v>
      </c>
      <c r="C413" s="374"/>
      <c r="D413" s="374"/>
      <c r="E413" s="324">
        <v>-22698.47</v>
      </c>
      <c r="F413" s="324">
        <v>0</v>
      </c>
      <c r="H413" s="324">
        <v>0</v>
      </c>
      <c r="J413" s="324">
        <v>-22698.47</v>
      </c>
      <c r="K413" s="321">
        <f t="shared" si="6"/>
        <v>0</v>
      </c>
    </row>
    <row r="414" spans="1:11" ht="15.95" customHeight="1" x14ac:dyDescent="0.2">
      <c r="A414" s="323" t="s">
        <v>761</v>
      </c>
      <c r="B414" s="373" t="s">
        <v>762</v>
      </c>
      <c r="C414" s="374"/>
      <c r="D414" s="374"/>
      <c r="E414" s="324">
        <v>-338.57</v>
      </c>
      <c r="F414" s="324">
        <v>0</v>
      </c>
      <c r="H414" s="324">
        <v>0</v>
      </c>
      <c r="J414" s="324">
        <v>-338.57</v>
      </c>
      <c r="K414" s="321">
        <f t="shared" si="6"/>
        <v>0</v>
      </c>
    </row>
    <row r="415" spans="1:11" ht="15.95" customHeight="1" x14ac:dyDescent="0.2">
      <c r="A415" s="323" t="s">
        <v>763</v>
      </c>
      <c r="B415" s="373" t="s">
        <v>764</v>
      </c>
      <c r="C415" s="374"/>
      <c r="D415" s="374"/>
      <c r="E415" s="324">
        <v>-111.7</v>
      </c>
      <c r="F415" s="324">
        <v>0</v>
      </c>
      <c r="H415" s="324">
        <v>0</v>
      </c>
      <c r="J415" s="324">
        <v>-111.7</v>
      </c>
      <c r="K415" s="321">
        <f t="shared" si="6"/>
        <v>0</v>
      </c>
    </row>
    <row r="416" spans="1:11" ht="15.95" customHeight="1" x14ac:dyDescent="0.2">
      <c r="A416" s="323" t="s">
        <v>765</v>
      </c>
      <c r="B416" s="373" t="s">
        <v>766</v>
      </c>
      <c r="C416" s="374"/>
      <c r="D416" s="374"/>
      <c r="E416" s="324">
        <v>-3215.85</v>
      </c>
      <c r="F416" s="324">
        <v>0</v>
      </c>
      <c r="H416" s="324">
        <v>0</v>
      </c>
      <c r="J416" s="324">
        <v>-3215.85</v>
      </c>
      <c r="K416" s="321">
        <f t="shared" si="6"/>
        <v>0</v>
      </c>
    </row>
    <row r="417" spans="1:11" ht="15.95" customHeight="1" x14ac:dyDescent="0.2">
      <c r="A417" s="323" t="s">
        <v>767</v>
      </c>
      <c r="B417" s="373" t="s">
        <v>768</v>
      </c>
      <c r="C417" s="374"/>
      <c r="D417" s="374"/>
      <c r="E417" s="324">
        <v>-861.9</v>
      </c>
      <c r="F417" s="324">
        <v>0</v>
      </c>
      <c r="H417" s="324">
        <v>0</v>
      </c>
      <c r="J417" s="324">
        <v>-861.9</v>
      </c>
      <c r="K417" s="321">
        <f t="shared" si="6"/>
        <v>0</v>
      </c>
    </row>
    <row r="418" spans="1:11" ht="15.95" customHeight="1" x14ac:dyDescent="0.2">
      <c r="A418" s="323" t="s">
        <v>769</v>
      </c>
      <c r="B418" s="373" t="s">
        <v>770</v>
      </c>
      <c r="C418" s="374"/>
      <c r="D418" s="374"/>
      <c r="E418" s="324">
        <v>-2028.49</v>
      </c>
      <c r="F418" s="324">
        <v>0</v>
      </c>
      <c r="H418" s="324">
        <v>0</v>
      </c>
      <c r="J418" s="324">
        <v>-2028.49</v>
      </c>
      <c r="K418" s="321">
        <f t="shared" si="6"/>
        <v>0</v>
      </c>
    </row>
    <row r="419" spans="1:11" ht="15.95" customHeight="1" x14ac:dyDescent="0.2">
      <c r="A419" s="323" t="s">
        <v>771</v>
      </c>
      <c r="B419" s="373" t="s">
        <v>772</v>
      </c>
      <c r="C419" s="374"/>
      <c r="D419" s="374"/>
      <c r="E419" s="324">
        <v>-1261.4000000000001</v>
      </c>
      <c r="F419" s="324">
        <v>0</v>
      </c>
      <c r="H419" s="324">
        <v>0</v>
      </c>
      <c r="J419" s="324">
        <v>-1261.4000000000001</v>
      </c>
      <c r="K419" s="321">
        <f t="shared" si="6"/>
        <v>0</v>
      </c>
    </row>
    <row r="420" spans="1:11" ht="15.95" customHeight="1" x14ac:dyDescent="0.2">
      <c r="A420" s="323" t="s">
        <v>773</v>
      </c>
      <c r="B420" s="373" t="s">
        <v>774</v>
      </c>
      <c r="C420" s="374"/>
      <c r="D420" s="374"/>
      <c r="E420" s="324">
        <v>-5180.93</v>
      </c>
      <c r="F420" s="324">
        <v>0</v>
      </c>
      <c r="H420" s="324">
        <v>0</v>
      </c>
      <c r="J420" s="324">
        <v>-5180.93</v>
      </c>
      <c r="K420" s="321">
        <f t="shared" si="6"/>
        <v>0</v>
      </c>
    </row>
    <row r="421" spans="1:11" ht="15.95" customHeight="1" x14ac:dyDescent="0.2">
      <c r="A421" s="323" t="s">
        <v>775</v>
      </c>
      <c r="B421" s="373" t="s">
        <v>776</v>
      </c>
      <c r="C421" s="374"/>
      <c r="D421" s="374"/>
      <c r="E421" s="324">
        <v>-206.2</v>
      </c>
      <c r="F421" s="324">
        <v>0</v>
      </c>
      <c r="H421" s="324">
        <v>0</v>
      </c>
      <c r="J421" s="324">
        <v>-206.2</v>
      </c>
      <c r="K421" s="321">
        <f t="shared" si="6"/>
        <v>0</v>
      </c>
    </row>
    <row r="422" spans="1:11" ht="15.95" customHeight="1" x14ac:dyDescent="0.2">
      <c r="A422" s="323" t="s">
        <v>777</v>
      </c>
      <c r="B422" s="373" t="s">
        <v>778</v>
      </c>
      <c r="C422" s="374"/>
      <c r="D422" s="374"/>
      <c r="E422" s="324">
        <v>-608.96</v>
      </c>
      <c r="F422" s="324">
        <v>0</v>
      </c>
      <c r="H422" s="324">
        <v>0</v>
      </c>
      <c r="J422" s="324">
        <v>-608.96</v>
      </c>
      <c r="K422" s="321">
        <f t="shared" si="6"/>
        <v>0</v>
      </c>
    </row>
    <row r="423" spans="1:11" ht="15.95" customHeight="1" x14ac:dyDescent="0.2">
      <c r="A423" s="323" t="s">
        <v>779</v>
      </c>
      <c r="B423" s="373" t="s">
        <v>780</v>
      </c>
      <c r="C423" s="374"/>
      <c r="D423" s="374"/>
      <c r="E423" s="324">
        <v>-156.04</v>
      </c>
      <c r="F423" s="324">
        <v>0</v>
      </c>
      <c r="H423" s="324">
        <v>0</v>
      </c>
      <c r="J423" s="324">
        <v>-156.04</v>
      </c>
      <c r="K423" s="321">
        <f t="shared" si="6"/>
        <v>0</v>
      </c>
    </row>
    <row r="424" spans="1:11" ht="15.95" customHeight="1" x14ac:dyDescent="0.2">
      <c r="A424" s="323" t="s">
        <v>781</v>
      </c>
      <c r="B424" s="373" t="s">
        <v>782</v>
      </c>
      <c r="C424" s="374"/>
      <c r="D424" s="374"/>
      <c r="E424" s="324">
        <v>-109.84</v>
      </c>
      <c r="F424" s="324">
        <v>0</v>
      </c>
      <c r="H424" s="324">
        <v>0</v>
      </c>
      <c r="J424" s="324">
        <v>-109.84</v>
      </c>
      <c r="K424" s="321">
        <f t="shared" si="6"/>
        <v>0</v>
      </c>
    </row>
    <row r="425" spans="1:11" ht="15.95" customHeight="1" x14ac:dyDescent="0.2">
      <c r="A425" s="323" t="s">
        <v>783</v>
      </c>
      <c r="B425" s="373" t="s">
        <v>784</v>
      </c>
      <c r="C425" s="374"/>
      <c r="D425" s="374"/>
      <c r="E425" s="324">
        <v>-683.35</v>
      </c>
      <c r="F425" s="324">
        <v>0</v>
      </c>
      <c r="H425" s="324">
        <v>0</v>
      </c>
      <c r="J425" s="324">
        <v>-683.35</v>
      </c>
      <c r="K425" s="321">
        <f t="shared" si="6"/>
        <v>0</v>
      </c>
    </row>
    <row r="426" spans="1:11" ht="15.95" customHeight="1" x14ac:dyDescent="0.2">
      <c r="A426" s="323" t="s">
        <v>785</v>
      </c>
      <c r="B426" s="373" t="s">
        <v>786</v>
      </c>
      <c r="C426" s="374"/>
      <c r="D426" s="374"/>
      <c r="E426" s="324">
        <v>-27</v>
      </c>
      <c r="F426" s="324">
        <v>0</v>
      </c>
      <c r="H426" s="324">
        <v>0</v>
      </c>
      <c r="J426" s="324">
        <v>-27</v>
      </c>
      <c r="K426" s="321">
        <f t="shared" si="6"/>
        <v>0</v>
      </c>
    </row>
    <row r="427" spans="1:11" ht="15.95" customHeight="1" x14ac:dyDescent="0.2">
      <c r="A427" s="323" t="s">
        <v>787</v>
      </c>
      <c r="B427" s="373" t="s">
        <v>788</v>
      </c>
      <c r="C427" s="374"/>
      <c r="D427" s="374"/>
      <c r="E427" s="324">
        <v>-45.32</v>
      </c>
      <c r="F427" s="324">
        <v>0</v>
      </c>
      <c r="H427" s="324">
        <v>0</v>
      </c>
      <c r="J427" s="324">
        <v>-45.32</v>
      </c>
      <c r="K427" s="321">
        <f t="shared" si="6"/>
        <v>0</v>
      </c>
    </row>
    <row r="428" spans="1:11" ht="15.95" customHeight="1" x14ac:dyDescent="0.2">
      <c r="A428" s="323" t="s">
        <v>789</v>
      </c>
      <c r="B428" s="373" t="s">
        <v>790</v>
      </c>
      <c r="C428" s="374"/>
      <c r="D428" s="374"/>
      <c r="E428" s="324">
        <v>-120.7</v>
      </c>
      <c r="F428" s="324">
        <v>0</v>
      </c>
      <c r="H428" s="324">
        <v>0</v>
      </c>
      <c r="J428" s="324">
        <v>-120.7</v>
      </c>
      <c r="K428" s="321">
        <f t="shared" si="6"/>
        <v>0</v>
      </c>
    </row>
    <row r="429" spans="1:11" ht="15.95" customHeight="1" x14ac:dyDescent="0.2">
      <c r="A429" s="323" t="s">
        <v>791</v>
      </c>
      <c r="B429" s="373" t="s">
        <v>792</v>
      </c>
      <c r="C429" s="374"/>
      <c r="D429" s="374"/>
      <c r="E429" s="324">
        <v>-674.65</v>
      </c>
      <c r="F429" s="324">
        <v>0</v>
      </c>
      <c r="H429" s="324">
        <v>0</v>
      </c>
      <c r="J429" s="324">
        <v>-674.65</v>
      </c>
      <c r="K429" s="321">
        <f t="shared" si="6"/>
        <v>0</v>
      </c>
    </row>
    <row r="430" spans="1:11" ht="15.95" customHeight="1" x14ac:dyDescent="0.2">
      <c r="A430" s="323" t="s">
        <v>793</v>
      </c>
      <c r="B430" s="373" t="s">
        <v>794</v>
      </c>
      <c r="C430" s="374"/>
      <c r="D430" s="374"/>
      <c r="E430" s="324">
        <v>-761.21</v>
      </c>
      <c r="F430" s="324">
        <v>0</v>
      </c>
      <c r="H430" s="324">
        <v>0</v>
      </c>
      <c r="J430" s="324">
        <v>-761.21</v>
      </c>
      <c r="K430" s="321">
        <f t="shared" si="6"/>
        <v>0</v>
      </c>
    </row>
    <row r="431" spans="1:11" ht="15.95" customHeight="1" x14ac:dyDescent="0.2">
      <c r="A431" s="323" t="s">
        <v>795</v>
      </c>
      <c r="B431" s="373" t="s">
        <v>796</v>
      </c>
      <c r="C431" s="374"/>
      <c r="D431" s="374"/>
      <c r="E431" s="324">
        <v>-44.62</v>
      </c>
      <c r="F431" s="324">
        <v>0</v>
      </c>
      <c r="H431" s="324">
        <v>0</v>
      </c>
      <c r="J431" s="324">
        <v>-44.62</v>
      </c>
      <c r="K431" s="321">
        <f t="shared" si="6"/>
        <v>0</v>
      </c>
    </row>
    <row r="432" spans="1:11" ht="15.95" customHeight="1" x14ac:dyDescent="0.2">
      <c r="A432" s="323" t="s">
        <v>797</v>
      </c>
      <c r="B432" s="373" t="s">
        <v>798</v>
      </c>
      <c r="C432" s="374"/>
      <c r="D432" s="374"/>
      <c r="E432" s="324">
        <v>-210.27</v>
      </c>
      <c r="F432" s="324">
        <v>0</v>
      </c>
      <c r="H432" s="324">
        <v>0</v>
      </c>
      <c r="J432" s="324">
        <v>-210.27</v>
      </c>
      <c r="K432" s="321">
        <f t="shared" si="6"/>
        <v>0</v>
      </c>
    </row>
    <row r="433" spans="1:11" ht="27.95" customHeight="1" x14ac:dyDescent="0.2">
      <c r="A433" s="323" t="s">
        <v>799</v>
      </c>
      <c r="B433" s="373" t="s">
        <v>800</v>
      </c>
      <c r="C433" s="374"/>
      <c r="D433" s="374"/>
      <c r="E433" s="324">
        <v>-2590.5</v>
      </c>
      <c r="F433" s="324">
        <v>0</v>
      </c>
      <c r="H433" s="324">
        <v>0</v>
      </c>
      <c r="J433" s="324">
        <v>-2590.5</v>
      </c>
      <c r="K433" s="321">
        <f t="shared" si="6"/>
        <v>0</v>
      </c>
    </row>
    <row r="434" spans="1:11" ht="15.95" customHeight="1" x14ac:dyDescent="0.2">
      <c r="A434" s="323" t="s">
        <v>801</v>
      </c>
      <c r="B434" s="373" t="s">
        <v>802</v>
      </c>
      <c r="C434" s="374"/>
      <c r="D434" s="374"/>
      <c r="E434" s="324">
        <v>-57.77</v>
      </c>
      <c r="F434" s="324">
        <v>0</v>
      </c>
      <c r="H434" s="324">
        <v>0</v>
      </c>
      <c r="J434" s="324">
        <v>-57.77</v>
      </c>
      <c r="K434" s="321">
        <f t="shared" si="6"/>
        <v>0</v>
      </c>
    </row>
    <row r="435" spans="1:11" ht="15.95" customHeight="1" x14ac:dyDescent="0.2">
      <c r="A435" s="323" t="s">
        <v>803</v>
      </c>
      <c r="B435" s="373" t="s">
        <v>804</v>
      </c>
      <c r="C435" s="374"/>
      <c r="D435" s="374"/>
      <c r="E435" s="324">
        <v>-384.27</v>
      </c>
      <c r="F435" s="324">
        <v>0</v>
      </c>
      <c r="H435" s="324">
        <v>0</v>
      </c>
      <c r="J435" s="324">
        <v>-384.27</v>
      </c>
      <c r="K435" s="321">
        <f t="shared" si="6"/>
        <v>0</v>
      </c>
    </row>
    <row r="436" spans="1:11" ht="15.95" customHeight="1" x14ac:dyDescent="0.2">
      <c r="A436" s="323" t="s">
        <v>805</v>
      </c>
      <c r="B436" s="373" t="s">
        <v>806</v>
      </c>
      <c r="C436" s="374"/>
      <c r="D436" s="374"/>
      <c r="E436" s="324">
        <v>-35.020000000000003</v>
      </c>
      <c r="F436" s="324">
        <v>0</v>
      </c>
      <c r="H436" s="324">
        <v>0</v>
      </c>
      <c r="J436" s="324">
        <v>-35.020000000000003</v>
      </c>
      <c r="K436" s="321">
        <f t="shared" si="6"/>
        <v>0</v>
      </c>
    </row>
    <row r="437" spans="1:11" ht="15.95" customHeight="1" x14ac:dyDescent="0.2">
      <c r="A437" s="323" t="s">
        <v>807</v>
      </c>
      <c r="B437" s="373" t="s">
        <v>808</v>
      </c>
      <c r="C437" s="374"/>
      <c r="D437" s="374"/>
      <c r="E437" s="324">
        <v>-2538.48</v>
      </c>
      <c r="F437" s="324">
        <v>0</v>
      </c>
      <c r="H437" s="324">
        <v>0</v>
      </c>
      <c r="J437" s="324">
        <v>-2538.48</v>
      </c>
      <c r="K437" s="321">
        <f t="shared" si="6"/>
        <v>0</v>
      </c>
    </row>
    <row r="438" spans="1:11" ht="15.95" customHeight="1" x14ac:dyDescent="0.2">
      <c r="A438" s="323" t="s">
        <v>809</v>
      </c>
      <c r="B438" s="373" t="s">
        <v>810</v>
      </c>
      <c r="C438" s="374"/>
      <c r="D438" s="374"/>
      <c r="E438" s="324">
        <v>-64.599999999999994</v>
      </c>
      <c r="F438" s="324">
        <v>0</v>
      </c>
      <c r="H438" s="324">
        <v>0</v>
      </c>
      <c r="J438" s="324">
        <v>-64.599999999999994</v>
      </c>
      <c r="K438" s="321">
        <f t="shared" si="6"/>
        <v>0</v>
      </c>
    </row>
    <row r="439" spans="1:11" ht="15.95" customHeight="1" x14ac:dyDescent="0.2">
      <c r="A439" s="323" t="s">
        <v>811</v>
      </c>
      <c r="B439" s="373" t="s">
        <v>812</v>
      </c>
      <c r="C439" s="374"/>
      <c r="D439" s="374"/>
      <c r="E439" s="324">
        <v>-410.25</v>
      </c>
      <c r="F439" s="324">
        <v>0</v>
      </c>
      <c r="H439" s="324">
        <v>0</v>
      </c>
      <c r="J439" s="324">
        <v>-410.25</v>
      </c>
      <c r="K439" s="321">
        <f t="shared" si="6"/>
        <v>0</v>
      </c>
    </row>
    <row r="440" spans="1:11" ht="15.95" customHeight="1" x14ac:dyDescent="0.2">
      <c r="A440" s="323" t="s">
        <v>813</v>
      </c>
      <c r="B440" s="373" t="s">
        <v>814</v>
      </c>
      <c r="C440" s="374"/>
      <c r="D440" s="374"/>
      <c r="E440" s="324">
        <v>-49.5</v>
      </c>
      <c r="F440" s="324">
        <v>0</v>
      </c>
      <c r="H440" s="324">
        <v>0</v>
      </c>
      <c r="J440" s="324">
        <v>-49.5</v>
      </c>
      <c r="K440" s="321">
        <f t="shared" si="6"/>
        <v>0</v>
      </c>
    </row>
    <row r="441" spans="1:11" ht="15.95" customHeight="1" x14ac:dyDescent="0.2">
      <c r="A441" s="323" t="s">
        <v>815</v>
      </c>
      <c r="B441" s="373" t="s">
        <v>816</v>
      </c>
      <c r="C441" s="374"/>
      <c r="D441" s="374"/>
      <c r="E441" s="324">
        <v>-228.66</v>
      </c>
      <c r="F441" s="324">
        <v>0</v>
      </c>
      <c r="H441" s="324">
        <v>0</v>
      </c>
      <c r="J441" s="324">
        <v>-228.66</v>
      </c>
      <c r="K441" s="321">
        <f t="shared" si="6"/>
        <v>0</v>
      </c>
    </row>
    <row r="442" spans="1:11" ht="15.95" customHeight="1" x14ac:dyDescent="0.2">
      <c r="A442" s="323" t="s">
        <v>817</v>
      </c>
      <c r="B442" s="373" t="s">
        <v>818</v>
      </c>
      <c r="C442" s="374"/>
      <c r="D442" s="374"/>
      <c r="E442" s="324">
        <v>-145.24</v>
      </c>
      <c r="F442" s="324">
        <v>0</v>
      </c>
      <c r="H442" s="324">
        <v>0</v>
      </c>
      <c r="J442" s="324">
        <v>-145.24</v>
      </c>
      <c r="K442" s="321">
        <f t="shared" si="6"/>
        <v>0</v>
      </c>
    </row>
    <row r="443" spans="1:11" ht="15.95" customHeight="1" x14ac:dyDescent="0.2">
      <c r="A443" s="323" t="s">
        <v>819</v>
      </c>
      <c r="B443" s="373" t="s">
        <v>820</v>
      </c>
      <c r="C443" s="374"/>
      <c r="D443" s="374"/>
      <c r="E443" s="324">
        <v>-515.5</v>
      </c>
      <c r="F443" s="324">
        <v>0</v>
      </c>
      <c r="H443" s="324">
        <v>0</v>
      </c>
      <c r="J443" s="324">
        <v>-515.5</v>
      </c>
      <c r="K443" s="321">
        <f t="shared" si="6"/>
        <v>0</v>
      </c>
    </row>
    <row r="444" spans="1:11" ht="15.95" customHeight="1" x14ac:dyDescent="0.2">
      <c r="A444" s="323" t="s">
        <v>821</v>
      </c>
      <c r="B444" s="373" t="s">
        <v>822</v>
      </c>
      <c r="C444" s="374"/>
      <c r="D444" s="374"/>
      <c r="E444" s="324">
        <v>-22.51</v>
      </c>
      <c r="F444" s="324">
        <v>0</v>
      </c>
      <c r="H444" s="324">
        <v>0</v>
      </c>
      <c r="J444" s="324">
        <v>-22.51</v>
      </c>
      <c r="K444" s="321">
        <f t="shared" si="6"/>
        <v>0</v>
      </c>
    </row>
    <row r="445" spans="1:11" ht="15.95" customHeight="1" x14ac:dyDescent="0.2">
      <c r="A445" s="323" t="s">
        <v>823</v>
      </c>
      <c r="B445" s="373" t="s">
        <v>824</v>
      </c>
      <c r="C445" s="374"/>
      <c r="D445" s="374"/>
      <c r="E445" s="324">
        <v>-10</v>
      </c>
      <c r="F445" s="324">
        <v>0</v>
      </c>
      <c r="H445" s="324">
        <v>0</v>
      </c>
      <c r="J445" s="324">
        <v>-10</v>
      </c>
      <c r="K445" s="321">
        <f t="shared" si="6"/>
        <v>0</v>
      </c>
    </row>
    <row r="446" spans="1:11" ht="15.95" customHeight="1" x14ac:dyDescent="0.2">
      <c r="A446" s="323" t="s">
        <v>825</v>
      </c>
      <c r="B446" s="373" t="s">
        <v>826</v>
      </c>
      <c r="C446" s="374"/>
      <c r="D446" s="374"/>
      <c r="E446" s="324">
        <v>-98.32</v>
      </c>
      <c r="F446" s="324">
        <v>0</v>
      </c>
      <c r="H446" s="324">
        <v>0</v>
      </c>
      <c r="J446" s="324">
        <v>-98.32</v>
      </c>
      <c r="K446" s="321">
        <f t="shared" si="6"/>
        <v>0</v>
      </c>
    </row>
    <row r="447" spans="1:11" ht="15.95" customHeight="1" x14ac:dyDescent="0.2">
      <c r="A447" s="323" t="s">
        <v>827</v>
      </c>
      <c r="B447" s="373" t="s">
        <v>828</v>
      </c>
      <c r="C447" s="374"/>
      <c r="D447" s="374"/>
      <c r="E447" s="324">
        <v>-21.62</v>
      </c>
      <c r="F447" s="324">
        <v>0</v>
      </c>
      <c r="H447" s="324">
        <v>0</v>
      </c>
      <c r="J447" s="324">
        <v>-21.62</v>
      </c>
      <c r="K447" s="321">
        <f t="shared" si="6"/>
        <v>0</v>
      </c>
    </row>
    <row r="448" spans="1:11" ht="15.95" customHeight="1" x14ac:dyDescent="0.2">
      <c r="A448" s="323" t="s">
        <v>829</v>
      </c>
      <c r="B448" s="373" t="s">
        <v>830</v>
      </c>
      <c r="C448" s="374"/>
      <c r="D448" s="374"/>
      <c r="E448" s="324">
        <v>-1274.77</v>
      </c>
      <c r="F448" s="324">
        <v>0</v>
      </c>
      <c r="H448" s="324">
        <v>0</v>
      </c>
      <c r="J448" s="324">
        <v>-1274.77</v>
      </c>
      <c r="K448" s="321">
        <f t="shared" si="6"/>
        <v>0</v>
      </c>
    </row>
    <row r="449" spans="1:11" ht="15.95" customHeight="1" x14ac:dyDescent="0.2">
      <c r="A449" s="323" t="s">
        <v>831</v>
      </c>
      <c r="B449" s="373" t="s">
        <v>832</v>
      </c>
      <c r="C449" s="374"/>
      <c r="D449" s="374"/>
      <c r="E449" s="324">
        <v>-170009.81</v>
      </c>
      <c r="F449" s="324">
        <v>0</v>
      </c>
      <c r="H449" s="324">
        <v>0</v>
      </c>
      <c r="J449" s="324">
        <v>-170009.81</v>
      </c>
      <c r="K449" s="321">
        <f t="shared" si="6"/>
        <v>0</v>
      </c>
    </row>
    <row r="450" spans="1:11" ht="15.95" customHeight="1" x14ac:dyDescent="0.2">
      <c r="A450" s="323" t="s">
        <v>833</v>
      </c>
      <c r="B450" s="373" t="s">
        <v>834</v>
      </c>
      <c r="C450" s="374"/>
      <c r="D450" s="374"/>
      <c r="E450" s="324">
        <v>-268.06</v>
      </c>
      <c r="F450" s="324">
        <v>0</v>
      </c>
      <c r="H450" s="324">
        <v>0</v>
      </c>
      <c r="J450" s="324">
        <v>-268.06</v>
      </c>
      <c r="K450" s="321">
        <f t="shared" si="6"/>
        <v>0</v>
      </c>
    </row>
    <row r="451" spans="1:11" ht="15.95" customHeight="1" x14ac:dyDescent="0.2">
      <c r="A451" s="323" t="s">
        <v>835</v>
      </c>
      <c r="B451" s="373" t="s">
        <v>836</v>
      </c>
      <c r="C451" s="374"/>
      <c r="D451" s="374"/>
      <c r="E451" s="324">
        <v>-394.41</v>
      </c>
      <c r="F451" s="324">
        <v>0</v>
      </c>
      <c r="H451" s="324">
        <v>0</v>
      </c>
      <c r="J451" s="324">
        <v>-394.41</v>
      </c>
      <c r="K451" s="321">
        <f t="shared" ref="K451:K514" si="7">J451-E451</f>
        <v>0</v>
      </c>
    </row>
    <row r="452" spans="1:11" ht="15.95" customHeight="1" x14ac:dyDescent="0.2">
      <c r="A452" s="323" t="s">
        <v>837</v>
      </c>
      <c r="B452" s="373" t="s">
        <v>838</v>
      </c>
      <c r="C452" s="374"/>
      <c r="D452" s="374"/>
      <c r="E452" s="324">
        <v>-140.36000000000001</v>
      </c>
      <c r="F452" s="324">
        <v>0</v>
      </c>
      <c r="H452" s="324">
        <v>0</v>
      </c>
      <c r="J452" s="324">
        <v>-140.36000000000001</v>
      </c>
      <c r="K452" s="321">
        <f t="shared" si="7"/>
        <v>0</v>
      </c>
    </row>
    <row r="453" spans="1:11" ht="15.95" customHeight="1" x14ac:dyDescent="0.2">
      <c r="A453" s="323" t="s">
        <v>839</v>
      </c>
      <c r="B453" s="373" t="s">
        <v>840</v>
      </c>
      <c r="C453" s="374"/>
      <c r="D453" s="374"/>
      <c r="E453" s="324">
        <v>-29.76</v>
      </c>
      <c r="F453" s="324">
        <v>0</v>
      </c>
      <c r="H453" s="324">
        <v>0</v>
      </c>
      <c r="J453" s="324">
        <v>-29.76</v>
      </c>
      <c r="K453" s="321">
        <f t="shared" si="7"/>
        <v>0</v>
      </c>
    </row>
    <row r="454" spans="1:11" ht="15.95" customHeight="1" x14ac:dyDescent="0.2">
      <c r="A454" s="323" t="s">
        <v>841</v>
      </c>
      <c r="B454" s="373" t="s">
        <v>842</v>
      </c>
      <c r="C454" s="374"/>
      <c r="D454" s="374"/>
      <c r="E454" s="324">
        <v>-151.47999999999999</v>
      </c>
      <c r="F454" s="324">
        <v>0</v>
      </c>
      <c r="H454" s="324">
        <v>0</v>
      </c>
      <c r="J454" s="324">
        <v>-151.47999999999999</v>
      </c>
      <c r="K454" s="321">
        <f t="shared" si="7"/>
        <v>0</v>
      </c>
    </row>
    <row r="455" spans="1:11" ht="15.95" customHeight="1" x14ac:dyDescent="0.2">
      <c r="A455" s="323" t="s">
        <v>843</v>
      </c>
      <c r="B455" s="373" t="s">
        <v>844</v>
      </c>
      <c r="C455" s="374"/>
      <c r="D455" s="374"/>
      <c r="E455" s="324">
        <v>-11402.28</v>
      </c>
      <c r="F455" s="324">
        <v>0</v>
      </c>
      <c r="H455" s="324">
        <v>0</v>
      </c>
      <c r="J455" s="324">
        <v>-11402.28</v>
      </c>
      <c r="K455" s="321">
        <f t="shared" si="7"/>
        <v>0</v>
      </c>
    </row>
    <row r="456" spans="1:11" ht="15.95" customHeight="1" x14ac:dyDescent="0.2">
      <c r="A456" s="323" t="s">
        <v>847</v>
      </c>
      <c r="B456" s="373" t="s">
        <v>848</v>
      </c>
      <c r="C456" s="374"/>
      <c r="D456" s="374"/>
      <c r="E456" s="324">
        <v>-260.05</v>
      </c>
      <c r="F456" s="324">
        <v>0</v>
      </c>
      <c r="H456" s="324">
        <v>0</v>
      </c>
      <c r="J456" s="324">
        <v>-260.05</v>
      </c>
      <c r="K456" s="321">
        <f t="shared" si="7"/>
        <v>0</v>
      </c>
    </row>
    <row r="457" spans="1:11" ht="15.95" customHeight="1" x14ac:dyDescent="0.2">
      <c r="A457" s="323" t="s">
        <v>849</v>
      </c>
      <c r="B457" s="373" t="s">
        <v>850</v>
      </c>
      <c r="C457" s="374"/>
      <c r="D457" s="374"/>
      <c r="E457" s="324">
        <v>-20.38</v>
      </c>
      <c r="F457" s="324">
        <v>0</v>
      </c>
      <c r="H457" s="324">
        <v>0</v>
      </c>
      <c r="J457" s="324">
        <v>-20.38</v>
      </c>
      <c r="K457" s="321">
        <f t="shared" si="7"/>
        <v>0</v>
      </c>
    </row>
    <row r="458" spans="1:11" ht="15.95" customHeight="1" x14ac:dyDescent="0.2">
      <c r="A458" s="323" t="s">
        <v>851</v>
      </c>
      <c r="B458" s="373" t="s">
        <v>852</v>
      </c>
      <c r="C458" s="374"/>
      <c r="D458" s="374"/>
      <c r="E458" s="324">
        <v>-286.95999999999998</v>
      </c>
      <c r="F458" s="324">
        <v>0</v>
      </c>
      <c r="H458" s="324">
        <v>0</v>
      </c>
      <c r="J458" s="324">
        <v>-286.95999999999998</v>
      </c>
      <c r="K458" s="321">
        <f t="shared" si="7"/>
        <v>0</v>
      </c>
    </row>
    <row r="459" spans="1:11" ht="15.95" customHeight="1" x14ac:dyDescent="0.2">
      <c r="A459" s="323" t="s">
        <v>853</v>
      </c>
      <c r="B459" s="373" t="s">
        <v>854</v>
      </c>
      <c r="C459" s="374"/>
      <c r="D459" s="374"/>
      <c r="E459" s="324">
        <v>-633.79999999999995</v>
      </c>
      <c r="F459" s="324">
        <v>0</v>
      </c>
      <c r="H459" s="324">
        <v>0</v>
      </c>
      <c r="J459" s="324">
        <v>-633.79999999999995</v>
      </c>
      <c r="K459" s="321">
        <f t="shared" si="7"/>
        <v>0</v>
      </c>
    </row>
    <row r="460" spans="1:11" ht="15.95" customHeight="1" x14ac:dyDescent="0.2">
      <c r="A460" s="323" t="s">
        <v>855</v>
      </c>
      <c r="B460" s="373" t="s">
        <v>856</v>
      </c>
      <c r="C460" s="374"/>
      <c r="D460" s="374"/>
      <c r="E460" s="324">
        <v>-260.16000000000003</v>
      </c>
      <c r="F460" s="324">
        <v>0</v>
      </c>
      <c r="H460" s="324">
        <v>0</v>
      </c>
      <c r="J460" s="324">
        <v>-260.16000000000003</v>
      </c>
      <c r="K460" s="321">
        <f t="shared" si="7"/>
        <v>0</v>
      </c>
    </row>
    <row r="461" spans="1:11" ht="15.95" customHeight="1" x14ac:dyDescent="0.2">
      <c r="A461" s="323" t="s">
        <v>857</v>
      </c>
      <c r="B461" s="373" t="s">
        <v>858</v>
      </c>
      <c r="C461" s="374"/>
      <c r="D461" s="374"/>
      <c r="E461" s="324">
        <v>-2953.97</v>
      </c>
      <c r="F461" s="324">
        <v>0</v>
      </c>
      <c r="H461" s="324">
        <v>0</v>
      </c>
      <c r="J461" s="324">
        <v>-2953.97</v>
      </c>
      <c r="K461" s="321">
        <f t="shared" si="7"/>
        <v>0</v>
      </c>
    </row>
    <row r="462" spans="1:11" ht="15.95" customHeight="1" x14ac:dyDescent="0.2">
      <c r="A462" s="323" t="s">
        <v>859</v>
      </c>
      <c r="B462" s="373" t="s">
        <v>860</v>
      </c>
      <c r="C462" s="374"/>
      <c r="D462" s="374"/>
      <c r="E462" s="324">
        <v>-2514.64</v>
      </c>
      <c r="F462" s="324">
        <v>0</v>
      </c>
      <c r="H462" s="324">
        <v>0</v>
      </c>
      <c r="J462" s="324">
        <v>-2514.64</v>
      </c>
      <c r="K462" s="321">
        <f t="shared" si="7"/>
        <v>0</v>
      </c>
    </row>
    <row r="463" spans="1:11" ht="15.95" customHeight="1" x14ac:dyDescent="0.2">
      <c r="A463" s="323" t="s">
        <v>861</v>
      </c>
      <c r="B463" s="373" t="s">
        <v>862</v>
      </c>
      <c r="C463" s="374"/>
      <c r="D463" s="374"/>
      <c r="E463" s="324">
        <v>-29.84</v>
      </c>
      <c r="F463" s="324">
        <v>0</v>
      </c>
      <c r="H463" s="324">
        <v>0</v>
      </c>
      <c r="J463" s="324">
        <v>-29.84</v>
      </c>
      <c r="K463" s="321">
        <f t="shared" si="7"/>
        <v>0</v>
      </c>
    </row>
    <row r="464" spans="1:11" ht="15.95" customHeight="1" x14ac:dyDescent="0.2">
      <c r="A464" s="323" t="s">
        <v>863</v>
      </c>
      <c r="B464" s="373" t="s">
        <v>864</v>
      </c>
      <c r="C464" s="374"/>
      <c r="D464" s="374"/>
      <c r="E464" s="324">
        <v>-866.83</v>
      </c>
      <c r="F464" s="324">
        <v>0</v>
      </c>
      <c r="H464" s="324">
        <v>0</v>
      </c>
      <c r="J464" s="324">
        <v>-866.83</v>
      </c>
      <c r="K464" s="321">
        <f t="shared" si="7"/>
        <v>0</v>
      </c>
    </row>
    <row r="465" spans="1:11" ht="15.95" customHeight="1" x14ac:dyDescent="0.2">
      <c r="A465" s="323" t="s">
        <v>865</v>
      </c>
      <c r="B465" s="373" t="s">
        <v>866</v>
      </c>
      <c r="C465" s="374"/>
      <c r="D465" s="374"/>
      <c r="E465" s="324">
        <v>-236.03</v>
      </c>
      <c r="F465" s="324">
        <v>0</v>
      </c>
      <c r="H465" s="324">
        <v>0</v>
      </c>
      <c r="J465" s="324">
        <v>-236.03</v>
      </c>
      <c r="K465" s="321">
        <f t="shared" si="7"/>
        <v>0</v>
      </c>
    </row>
    <row r="466" spans="1:11" ht="15.95" customHeight="1" x14ac:dyDescent="0.2">
      <c r="A466" s="323" t="s">
        <v>867</v>
      </c>
      <c r="B466" s="373" t="s">
        <v>868</v>
      </c>
      <c r="C466" s="374"/>
      <c r="D466" s="374"/>
      <c r="E466" s="324">
        <v>-148.35</v>
      </c>
      <c r="F466" s="324">
        <v>0</v>
      </c>
      <c r="H466" s="324">
        <v>0</v>
      </c>
      <c r="J466" s="324">
        <v>-148.35</v>
      </c>
      <c r="K466" s="321">
        <f t="shared" si="7"/>
        <v>0</v>
      </c>
    </row>
    <row r="467" spans="1:11" ht="15.95" customHeight="1" x14ac:dyDescent="0.2">
      <c r="A467" s="323" t="s">
        <v>871</v>
      </c>
      <c r="B467" s="373" t="s">
        <v>872</v>
      </c>
      <c r="C467" s="374"/>
      <c r="D467" s="374"/>
      <c r="E467" s="324">
        <v>-70.819999999999993</v>
      </c>
      <c r="F467" s="324">
        <v>0</v>
      </c>
      <c r="H467" s="324">
        <v>0</v>
      </c>
      <c r="J467" s="324">
        <v>-70.819999999999993</v>
      </c>
      <c r="K467" s="321">
        <f t="shared" si="7"/>
        <v>0</v>
      </c>
    </row>
    <row r="468" spans="1:11" ht="15.95" customHeight="1" x14ac:dyDescent="0.2">
      <c r="A468" s="323" t="s">
        <v>873</v>
      </c>
      <c r="B468" s="373" t="s">
        <v>874</v>
      </c>
      <c r="C468" s="374"/>
      <c r="D468" s="374"/>
      <c r="E468" s="324">
        <v>-396.38</v>
      </c>
      <c r="F468" s="324">
        <v>0</v>
      </c>
      <c r="H468" s="324">
        <v>0</v>
      </c>
      <c r="J468" s="324">
        <v>-396.38</v>
      </c>
      <c r="K468" s="321">
        <f t="shared" si="7"/>
        <v>0</v>
      </c>
    </row>
    <row r="469" spans="1:11" ht="15.95" customHeight="1" x14ac:dyDescent="0.2">
      <c r="A469" s="323" t="s">
        <v>875</v>
      </c>
      <c r="B469" s="373" t="s">
        <v>876</v>
      </c>
      <c r="C469" s="374"/>
      <c r="D469" s="374"/>
      <c r="E469" s="324">
        <v>-117.09</v>
      </c>
      <c r="F469" s="324">
        <v>0</v>
      </c>
      <c r="H469" s="324">
        <v>0</v>
      </c>
      <c r="J469" s="324">
        <v>-117.09</v>
      </c>
      <c r="K469" s="321">
        <f t="shared" si="7"/>
        <v>0</v>
      </c>
    </row>
    <row r="470" spans="1:11" ht="15.95" customHeight="1" x14ac:dyDescent="0.2">
      <c r="A470" s="323" t="s">
        <v>877</v>
      </c>
      <c r="B470" s="373" t="s">
        <v>878</v>
      </c>
      <c r="C470" s="374"/>
      <c r="D470" s="374"/>
      <c r="E470" s="324">
        <v>-1638.3</v>
      </c>
      <c r="F470" s="324">
        <v>0</v>
      </c>
      <c r="H470" s="324">
        <v>0</v>
      </c>
      <c r="J470" s="324">
        <v>-1638.3</v>
      </c>
      <c r="K470" s="321">
        <f t="shared" si="7"/>
        <v>0</v>
      </c>
    </row>
    <row r="471" spans="1:11" ht="15.95" customHeight="1" x14ac:dyDescent="0.2">
      <c r="A471" s="323" t="s">
        <v>879</v>
      </c>
      <c r="B471" s="373" t="s">
        <v>880</v>
      </c>
      <c r="C471" s="374"/>
      <c r="D471" s="374"/>
      <c r="E471" s="324">
        <v>-13.09</v>
      </c>
      <c r="F471" s="324">
        <v>0</v>
      </c>
      <c r="H471" s="324">
        <v>0</v>
      </c>
      <c r="J471" s="324">
        <v>-13.09</v>
      </c>
      <c r="K471" s="321">
        <f t="shared" si="7"/>
        <v>0</v>
      </c>
    </row>
    <row r="472" spans="1:11" ht="15.95" customHeight="1" x14ac:dyDescent="0.2">
      <c r="A472" s="323" t="s">
        <v>881</v>
      </c>
      <c r="B472" s="373" t="s">
        <v>882</v>
      </c>
      <c r="C472" s="374"/>
      <c r="D472" s="374"/>
      <c r="E472" s="324">
        <v>-164.32</v>
      </c>
      <c r="F472" s="324">
        <v>0</v>
      </c>
      <c r="H472" s="324">
        <v>0</v>
      </c>
      <c r="J472" s="324">
        <v>-164.32</v>
      </c>
      <c r="K472" s="321">
        <f t="shared" si="7"/>
        <v>0</v>
      </c>
    </row>
    <row r="473" spans="1:11" ht="15.95" customHeight="1" x14ac:dyDescent="0.2">
      <c r="A473" s="323" t="s">
        <v>883</v>
      </c>
      <c r="B473" s="373" t="s">
        <v>884</v>
      </c>
      <c r="C473" s="374"/>
      <c r="D473" s="374"/>
      <c r="E473" s="324">
        <v>-1094.4100000000001</v>
      </c>
      <c r="F473" s="324">
        <v>0</v>
      </c>
      <c r="H473" s="324">
        <v>0</v>
      </c>
      <c r="J473" s="324">
        <v>-1094.4100000000001</v>
      </c>
      <c r="K473" s="321">
        <f t="shared" si="7"/>
        <v>0</v>
      </c>
    </row>
    <row r="474" spans="1:11" ht="15.95" customHeight="1" x14ac:dyDescent="0.2">
      <c r="A474" s="323" t="s">
        <v>885</v>
      </c>
      <c r="B474" s="373" t="s">
        <v>886</v>
      </c>
      <c r="C474" s="374"/>
      <c r="D474" s="374"/>
      <c r="E474" s="324">
        <v>-136.56</v>
      </c>
      <c r="F474" s="324">
        <v>0</v>
      </c>
      <c r="H474" s="324">
        <v>0</v>
      </c>
      <c r="J474" s="324">
        <v>-136.56</v>
      </c>
      <c r="K474" s="321">
        <f t="shared" si="7"/>
        <v>0</v>
      </c>
    </row>
    <row r="475" spans="1:11" ht="15.95" customHeight="1" x14ac:dyDescent="0.2">
      <c r="A475" s="323" t="s">
        <v>887</v>
      </c>
      <c r="B475" s="373" t="s">
        <v>888</v>
      </c>
      <c r="C475" s="374"/>
      <c r="D475" s="374"/>
      <c r="E475" s="324">
        <v>-2046.48</v>
      </c>
      <c r="F475" s="324">
        <v>0</v>
      </c>
      <c r="H475" s="324">
        <v>0</v>
      </c>
      <c r="J475" s="324">
        <v>-2046.48</v>
      </c>
      <c r="K475" s="321">
        <f t="shared" si="7"/>
        <v>0</v>
      </c>
    </row>
    <row r="476" spans="1:11" ht="15.95" customHeight="1" x14ac:dyDescent="0.2">
      <c r="A476" s="323" t="s">
        <v>889</v>
      </c>
      <c r="B476" s="373" t="s">
        <v>890</v>
      </c>
      <c r="C476" s="374"/>
      <c r="D476" s="374"/>
      <c r="E476" s="324">
        <v>-2708.77</v>
      </c>
      <c r="F476" s="324">
        <v>0</v>
      </c>
      <c r="H476" s="324">
        <v>0</v>
      </c>
      <c r="J476" s="324">
        <v>-2708.77</v>
      </c>
      <c r="K476" s="321">
        <f t="shared" si="7"/>
        <v>0</v>
      </c>
    </row>
    <row r="477" spans="1:11" ht="15.95" customHeight="1" x14ac:dyDescent="0.2">
      <c r="A477" s="323" t="s">
        <v>891</v>
      </c>
      <c r="B477" s="373" t="s">
        <v>892</v>
      </c>
      <c r="C477" s="374"/>
      <c r="D477" s="374"/>
      <c r="E477" s="324">
        <v>-1092.42</v>
      </c>
      <c r="F477" s="324">
        <v>0</v>
      </c>
      <c r="H477" s="324">
        <v>0</v>
      </c>
      <c r="J477" s="324">
        <v>-1092.42</v>
      </c>
      <c r="K477" s="321">
        <f t="shared" si="7"/>
        <v>0</v>
      </c>
    </row>
    <row r="478" spans="1:11" ht="15.95" customHeight="1" x14ac:dyDescent="0.2">
      <c r="A478" s="323" t="s">
        <v>893</v>
      </c>
      <c r="B478" s="373" t="s">
        <v>894</v>
      </c>
      <c r="C478" s="374"/>
      <c r="D478" s="374"/>
      <c r="E478" s="324">
        <v>-52.6</v>
      </c>
      <c r="F478" s="324">
        <v>0</v>
      </c>
      <c r="H478" s="324">
        <v>0</v>
      </c>
      <c r="J478" s="324">
        <v>-52.6</v>
      </c>
      <c r="K478" s="321">
        <f t="shared" si="7"/>
        <v>0</v>
      </c>
    </row>
    <row r="479" spans="1:11" ht="15.95" customHeight="1" x14ac:dyDescent="0.2">
      <c r="A479" s="323" t="s">
        <v>895</v>
      </c>
      <c r="B479" s="373" t="s">
        <v>896</v>
      </c>
      <c r="C479" s="374"/>
      <c r="D479" s="374"/>
      <c r="E479" s="324">
        <v>-93.68</v>
      </c>
      <c r="F479" s="324">
        <v>0</v>
      </c>
      <c r="H479" s="324">
        <v>0</v>
      </c>
      <c r="J479" s="324">
        <v>-93.68</v>
      </c>
      <c r="K479" s="321">
        <f t="shared" si="7"/>
        <v>0</v>
      </c>
    </row>
    <row r="480" spans="1:11" ht="15.95" customHeight="1" x14ac:dyDescent="0.2">
      <c r="A480" s="323" t="s">
        <v>897</v>
      </c>
      <c r="B480" s="373" t="s">
        <v>898</v>
      </c>
      <c r="C480" s="374"/>
      <c r="D480" s="374"/>
      <c r="E480" s="324">
        <v>-27.05</v>
      </c>
      <c r="F480" s="324">
        <v>0</v>
      </c>
      <c r="H480" s="324">
        <v>0</v>
      </c>
      <c r="J480" s="324">
        <v>-27.05</v>
      </c>
      <c r="K480" s="321">
        <f t="shared" si="7"/>
        <v>0</v>
      </c>
    </row>
    <row r="481" spans="1:11" ht="15.95" customHeight="1" x14ac:dyDescent="0.2">
      <c r="A481" s="323" t="s">
        <v>899</v>
      </c>
      <c r="B481" s="373" t="s">
        <v>900</v>
      </c>
      <c r="C481" s="374"/>
      <c r="D481" s="374"/>
      <c r="E481" s="324">
        <v>-429.13</v>
      </c>
      <c r="F481" s="324">
        <v>0</v>
      </c>
      <c r="H481" s="324">
        <v>0</v>
      </c>
      <c r="J481" s="324">
        <v>-429.13</v>
      </c>
      <c r="K481" s="321">
        <f t="shared" si="7"/>
        <v>0</v>
      </c>
    </row>
    <row r="482" spans="1:11" ht="15.95" customHeight="1" x14ac:dyDescent="0.2">
      <c r="A482" s="323" t="s">
        <v>901</v>
      </c>
      <c r="B482" s="373" t="s">
        <v>902</v>
      </c>
      <c r="C482" s="374"/>
      <c r="D482" s="374"/>
      <c r="E482" s="324">
        <v>-91.74</v>
      </c>
      <c r="F482" s="324">
        <v>0</v>
      </c>
      <c r="H482" s="324">
        <v>0</v>
      </c>
      <c r="J482" s="324">
        <v>-91.74</v>
      </c>
      <c r="K482" s="321">
        <f t="shared" si="7"/>
        <v>0</v>
      </c>
    </row>
    <row r="483" spans="1:11" ht="15.95" customHeight="1" x14ac:dyDescent="0.2">
      <c r="A483" s="323" t="s">
        <v>903</v>
      </c>
      <c r="B483" s="373" t="s">
        <v>904</v>
      </c>
      <c r="C483" s="374"/>
      <c r="D483" s="374"/>
      <c r="E483" s="324">
        <v>-501</v>
      </c>
      <c r="F483" s="324">
        <v>0</v>
      </c>
      <c r="H483" s="324">
        <v>0</v>
      </c>
      <c r="J483" s="324">
        <v>-501</v>
      </c>
      <c r="K483" s="321">
        <f t="shared" si="7"/>
        <v>0</v>
      </c>
    </row>
    <row r="484" spans="1:11" ht="15.95" customHeight="1" x14ac:dyDescent="0.2">
      <c r="A484" s="323" t="s">
        <v>905</v>
      </c>
      <c r="B484" s="373" t="s">
        <v>906</v>
      </c>
      <c r="C484" s="374"/>
      <c r="D484" s="374"/>
      <c r="E484" s="324">
        <v>-4910.01</v>
      </c>
      <c r="F484" s="324">
        <v>0</v>
      </c>
      <c r="H484" s="324">
        <v>0</v>
      </c>
      <c r="J484" s="324">
        <v>-4910.01</v>
      </c>
      <c r="K484" s="321">
        <f t="shared" si="7"/>
        <v>0</v>
      </c>
    </row>
    <row r="485" spans="1:11" ht="15.95" customHeight="1" x14ac:dyDescent="0.2">
      <c r="A485" s="323" t="s">
        <v>907</v>
      </c>
      <c r="B485" s="373" t="s">
        <v>908</v>
      </c>
      <c r="C485" s="374"/>
      <c r="D485" s="374"/>
      <c r="E485" s="324">
        <v>-106</v>
      </c>
      <c r="F485" s="324">
        <v>0</v>
      </c>
      <c r="H485" s="324">
        <v>0</v>
      </c>
      <c r="J485" s="324">
        <v>-106</v>
      </c>
      <c r="K485" s="321">
        <f t="shared" si="7"/>
        <v>0</v>
      </c>
    </row>
    <row r="486" spans="1:11" ht="15.95" customHeight="1" x14ac:dyDescent="0.2">
      <c r="A486" s="323" t="s">
        <v>909</v>
      </c>
      <c r="B486" s="373" t="s">
        <v>910</v>
      </c>
      <c r="C486" s="374"/>
      <c r="D486" s="374"/>
      <c r="E486" s="324">
        <v>-41.75</v>
      </c>
      <c r="F486" s="324">
        <v>0</v>
      </c>
      <c r="H486" s="324">
        <v>0</v>
      </c>
      <c r="J486" s="324">
        <v>-41.75</v>
      </c>
      <c r="K486" s="321">
        <f t="shared" si="7"/>
        <v>0</v>
      </c>
    </row>
    <row r="487" spans="1:11" ht="27.95" customHeight="1" x14ac:dyDescent="0.2">
      <c r="A487" s="323" t="s">
        <v>911</v>
      </c>
      <c r="B487" s="373" t="s">
        <v>912</v>
      </c>
      <c r="C487" s="374"/>
      <c r="D487" s="374"/>
      <c r="E487" s="324">
        <v>-25.84</v>
      </c>
      <c r="F487" s="324">
        <v>0</v>
      </c>
      <c r="H487" s="324">
        <v>0</v>
      </c>
      <c r="J487" s="324">
        <v>-25.84</v>
      </c>
      <c r="K487" s="321">
        <f t="shared" si="7"/>
        <v>0</v>
      </c>
    </row>
    <row r="488" spans="1:11" ht="15.95" customHeight="1" x14ac:dyDescent="0.2">
      <c r="A488" s="323" t="s">
        <v>913</v>
      </c>
      <c r="B488" s="373" t="s">
        <v>914</v>
      </c>
      <c r="C488" s="374"/>
      <c r="D488" s="374"/>
      <c r="E488" s="324">
        <v>-24.95</v>
      </c>
      <c r="F488" s="324">
        <v>0</v>
      </c>
      <c r="H488" s="324">
        <v>0</v>
      </c>
      <c r="J488" s="324">
        <v>-24.95</v>
      </c>
      <c r="K488" s="321">
        <f t="shared" si="7"/>
        <v>0</v>
      </c>
    </row>
    <row r="489" spans="1:11" ht="15.95" customHeight="1" x14ac:dyDescent="0.2">
      <c r="A489" s="323" t="s">
        <v>915</v>
      </c>
      <c r="B489" s="373" t="s">
        <v>916</v>
      </c>
      <c r="C489" s="374"/>
      <c r="D489" s="374"/>
      <c r="E489" s="324">
        <v>-2728.5</v>
      </c>
      <c r="F489" s="324">
        <v>0</v>
      </c>
      <c r="H489" s="324">
        <v>0</v>
      </c>
      <c r="J489" s="324">
        <v>-2728.5</v>
      </c>
      <c r="K489" s="321">
        <f t="shared" si="7"/>
        <v>0</v>
      </c>
    </row>
    <row r="490" spans="1:11" ht="15.95" customHeight="1" x14ac:dyDescent="0.2">
      <c r="A490" s="323" t="s">
        <v>917</v>
      </c>
      <c r="B490" s="373" t="s">
        <v>918</v>
      </c>
      <c r="C490" s="374"/>
      <c r="D490" s="374"/>
      <c r="E490" s="324">
        <v>-589.86</v>
      </c>
      <c r="F490" s="324">
        <v>0</v>
      </c>
      <c r="H490" s="324">
        <v>0</v>
      </c>
      <c r="J490" s="324">
        <v>-589.86</v>
      </c>
      <c r="K490" s="321">
        <f t="shared" si="7"/>
        <v>0</v>
      </c>
    </row>
    <row r="491" spans="1:11" ht="15.95" customHeight="1" x14ac:dyDescent="0.2">
      <c r="A491" s="323" t="s">
        <v>919</v>
      </c>
      <c r="B491" s="373" t="s">
        <v>920</v>
      </c>
      <c r="C491" s="374"/>
      <c r="D491" s="374"/>
      <c r="E491" s="324">
        <v>0</v>
      </c>
      <c r="F491" s="324">
        <v>74520.539999999994</v>
      </c>
      <c r="H491" s="324">
        <v>372602.69</v>
      </c>
      <c r="J491" s="324">
        <v>-298082.15000000002</v>
      </c>
      <c r="K491" s="321">
        <f t="shared" si="7"/>
        <v>-298082.15000000002</v>
      </c>
    </row>
    <row r="492" spans="1:11" ht="15.95" customHeight="1" x14ac:dyDescent="0.2">
      <c r="A492" s="323" t="s">
        <v>1885</v>
      </c>
      <c r="B492" s="373" t="s">
        <v>1886</v>
      </c>
      <c r="C492" s="374"/>
      <c r="D492" s="374"/>
      <c r="E492" s="324">
        <v>0</v>
      </c>
      <c r="F492" s="324">
        <v>0</v>
      </c>
      <c r="H492" s="324">
        <v>1000</v>
      </c>
      <c r="J492" s="324">
        <v>-1000</v>
      </c>
      <c r="K492" s="321">
        <f t="shared" si="7"/>
        <v>-1000</v>
      </c>
    </row>
    <row r="493" spans="1:11" ht="15.95" customHeight="1" x14ac:dyDescent="0.2">
      <c r="A493" s="323" t="s">
        <v>924</v>
      </c>
      <c r="B493" s="373" t="s">
        <v>925</v>
      </c>
      <c r="C493" s="374"/>
      <c r="D493" s="374"/>
      <c r="E493" s="324">
        <v>-268849.48</v>
      </c>
      <c r="F493" s="324">
        <v>544922.67000000004</v>
      </c>
      <c r="H493" s="324">
        <v>497607.54</v>
      </c>
      <c r="J493" s="324">
        <v>-221534.35</v>
      </c>
      <c r="K493" s="321">
        <f t="shared" si="7"/>
        <v>47315.129999999976</v>
      </c>
    </row>
    <row r="494" spans="1:11" ht="15.95" customHeight="1" x14ac:dyDescent="0.2">
      <c r="A494" s="323">
        <v>2170103</v>
      </c>
      <c r="B494" s="373" t="s">
        <v>926</v>
      </c>
      <c r="C494" s="374"/>
      <c r="D494" s="374"/>
      <c r="E494" s="324">
        <v>-2074158.23</v>
      </c>
      <c r="F494" s="324">
        <v>0</v>
      </c>
      <c r="H494" s="324">
        <v>0</v>
      </c>
      <c r="J494" s="324">
        <v>-2074158.23</v>
      </c>
      <c r="K494" s="321">
        <f t="shared" si="7"/>
        <v>0</v>
      </c>
    </row>
    <row r="495" spans="1:11" ht="15.95" customHeight="1" x14ac:dyDescent="0.2">
      <c r="A495" s="323" t="s">
        <v>927</v>
      </c>
      <c r="B495" s="373" t="s">
        <v>928</v>
      </c>
      <c r="C495" s="374"/>
      <c r="D495" s="374"/>
      <c r="E495" s="324">
        <v>-130924.65</v>
      </c>
      <c r="F495" s="324">
        <v>0</v>
      </c>
      <c r="H495" s="324">
        <v>0</v>
      </c>
      <c r="J495" s="324">
        <v>-130924.65</v>
      </c>
      <c r="K495" s="321">
        <f t="shared" si="7"/>
        <v>0</v>
      </c>
    </row>
    <row r="496" spans="1:11" ht="15.95" customHeight="1" x14ac:dyDescent="0.2">
      <c r="A496" s="323" t="s">
        <v>929</v>
      </c>
      <c r="B496" s="373" t="s">
        <v>930</v>
      </c>
      <c r="C496" s="374"/>
      <c r="D496" s="374"/>
      <c r="E496" s="324">
        <v>-226.75</v>
      </c>
      <c r="F496" s="324">
        <v>0</v>
      </c>
      <c r="H496" s="324">
        <v>0</v>
      </c>
      <c r="J496" s="324">
        <v>-226.75</v>
      </c>
      <c r="K496" s="321">
        <f t="shared" si="7"/>
        <v>0</v>
      </c>
    </row>
    <row r="497" spans="1:11" ht="15.95" customHeight="1" x14ac:dyDescent="0.2">
      <c r="A497" s="323" t="s">
        <v>931</v>
      </c>
      <c r="B497" s="373" t="s">
        <v>932</v>
      </c>
      <c r="C497" s="374"/>
      <c r="D497" s="374"/>
      <c r="E497" s="324">
        <v>-1794.57</v>
      </c>
      <c r="F497" s="324">
        <v>0</v>
      </c>
      <c r="H497" s="324">
        <v>0</v>
      </c>
      <c r="J497" s="324">
        <v>-1794.57</v>
      </c>
      <c r="K497" s="321">
        <f t="shared" si="7"/>
        <v>0</v>
      </c>
    </row>
    <row r="498" spans="1:11" ht="15.95" customHeight="1" x14ac:dyDescent="0.2">
      <c r="A498" s="323" t="s">
        <v>933</v>
      </c>
      <c r="B498" s="373" t="s">
        <v>934</v>
      </c>
      <c r="C498" s="374"/>
      <c r="D498" s="374"/>
      <c r="E498" s="324">
        <v>-47342.879999999997</v>
      </c>
      <c r="F498" s="324">
        <v>0</v>
      </c>
      <c r="H498" s="324">
        <v>0</v>
      </c>
      <c r="J498" s="324">
        <v>-47342.879999999997</v>
      </c>
      <c r="K498" s="321">
        <f t="shared" si="7"/>
        <v>0</v>
      </c>
    </row>
    <row r="499" spans="1:11" ht="15.95" customHeight="1" x14ac:dyDescent="0.2">
      <c r="A499" s="323" t="s">
        <v>935</v>
      </c>
      <c r="B499" s="373" t="s">
        <v>936</v>
      </c>
      <c r="C499" s="374"/>
      <c r="D499" s="374"/>
      <c r="E499" s="324">
        <v>-2247.4699999999998</v>
      </c>
      <c r="F499" s="324">
        <v>0</v>
      </c>
      <c r="H499" s="324">
        <v>0</v>
      </c>
      <c r="J499" s="324">
        <v>-2247.4699999999998</v>
      </c>
      <c r="K499" s="321">
        <f t="shared" si="7"/>
        <v>0</v>
      </c>
    </row>
    <row r="500" spans="1:11" ht="15.95" customHeight="1" x14ac:dyDescent="0.2">
      <c r="A500" s="323" t="s">
        <v>937</v>
      </c>
      <c r="B500" s="373" t="s">
        <v>938</v>
      </c>
      <c r="C500" s="374"/>
      <c r="D500" s="374"/>
      <c r="E500" s="324">
        <v>-1269.3900000000001</v>
      </c>
      <c r="F500" s="324">
        <v>0</v>
      </c>
      <c r="H500" s="324">
        <v>0</v>
      </c>
      <c r="J500" s="324">
        <v>-1269.3900000000001</v>
      </c>
      <c r="K500" s="321">
        <f t="shared" si="7"/>
        <v>0</v>
      </c>
    </row>
    <row r="501" spans="1:11" ht="15.95" customHeight="1" x14ac:dyDescent="0.2">
      <c r="A501" s="323" t="s">
        <v>939</v>
      </c>
      <c r="B501" s="373" t="s">
        <v>940</v>
      </c>
      <c r="C501" s="374"/>
      <c r="D501" s="374"/>
      <c r="E501" s="324">
        <v>-33360.89</v>
      </c>
      <c r="F501" s="324">
        <v>0</v>
      </c>
      <c r="H501" s="324">
        <v>0</v>
      </c>
      <c r="J501" s="324">
        <v>-33360.89</v>
      </c>
      <c r="K501" s="321">
        <f t="shared" si="7"/>
        <v>0</v>
      </c>
    </row>
    <row r="502" spans="1:11" ht="15.95" customHeight="1" x14ac:dyDescent="0.2">
      <c r="A502" s="323" t="s">
        <v>941</v>
      </c>
      <c r="B502" s="373" t="s">
        <v>942</v>
      </c>
      <c r="C502" s="374"/>
      <c r="D502" s="374"/>
      <c r="E502" s="324">
        <v>-1242633.32</v>
      </c>
      <c r="F502" s="324">
        <v>0</v>
      </c>
      <c r="H502" s="324">
        <v>0</v>
      </c>
      <c r="J502" s="324">
        <v>-1242633.32</v>
      </c>
      <c r="K502" s="321">
        <f t="shared" si="7"/>
        <v>0</v>
      </c>
    </row>
    <row r="503" spans="1:11" ht="15.95" customHeight="1" x14ac:dyDescent="0.2">
      <c r="A503" s="323" t="s">
        <v>943</v>
      </c>
      <c r="B503" s="373" t="s">
        <v>944</v>
      </c>
      <c r="C503" s="374"/>
      <c r="D503" s="374"/>
      <c r="E503" s="324">
        <v>-1390.47</v>
      </c>
      <c r="F503" s="324">
        <v>0</v>
      </c>
      <c r="H503" s="324">
        <v>0</v>
      </c>
      <c r="J503" s="324">
        <v>-1390.47</v>
      </c>
      <c r="K503" s="321">
        <f t="shared" si="7"/>
        <v>0</v>
      </c>
    </row>
    <row r="504" spans="1:11" ht="15.95" customHeight="1" x14ac:dyDescent="0.2">
      <c r="A504" s="323" t="s">
        <v>945</v>
      </c>
      <c r="B504" s="373" t="s">
        <v>946</v>
      </c>
      <c r="C504" s="374"/>
      <c r="D504" s="374"/>
      <c r="E504" s="324">
        <v>-120520.27</v>
      </c>
      <c r="F504" s="324">
        <v>0</v>
      </c>
      <c r="H504" s="324">
        <v>0</v>
      </c>
      <c r="J504" s="324">
        <v>-120520.27</v>
      </c>
      <c r="K504" s="321">
        <f t="shared" si="7"/>
        <v>0</v>
      </c>
    </row>
    <row r="505" spans="1:11" ht="15.95" customHeight="1" x14ac:dyDescent="0.2">
      <c r="A505" s="323" t="s">
        <v>947</v>
      </c>
      <c r="B505" s="373" t="s">
        <v>948</v>
      </c>
      <c r="C505" s="374"/>
      <c r="D505" s="374"/>
      <c r="E505" s="324">
        <v>-328.74</v>
      </c>
      <c r="F505" s="324">
        <v>0</v>
      </c>
      <c r="H505" s="324">
        <v>0</v>
      </c>
      <c r="J505" s="324">
        <v>-328.74</v>
      </c>
      <c r="K505" s="321">
        <f t="shared" si="7"/>
        <v>0</v>
      </c>
    </row>
    <row r="506" spans="1:11" ht="15.95" customHeight="1" x14ac:dyDescent="0.2">
      <c r="A506" s="323" t="s">
        <v>949</v>
      </c>
      <c r="B506" s="373" t="s">
        <v>950</v>
      </c>
      <c r="C506" s="374"/>
      <c r="D506" s="374"/>
      <c r="E506" s="324">
        <v>-432.02</v>
      </c>
      <c r="F506" s="324">
        <v>0</v>
      </c>
      <c r="H506" s="324">
        <v>0</v>
      </c>
      <c r="J506" s="324">
        <v>-432.02</v>
      </c>
      <c r="K506" s="321">
        <f t="shared" si="7"/>
        <v>0</v>
      </c>
    </row>
    <row r="507" spans="1:11" ht="15.95" customHeight="1" x14ac:dyDescent="0.2">
      <c r="A507" s="323" t="s">
        <v>951</v>
      </c>
      <c r="B507" s="373" t="s">
        <v>952</v>
      </c>
      <c r="C507" s="374"/>
      <c r="D507" s="374"/>
      <c r="E507" s="324">
        <v>-107.73</v>
      </c>
      <c r="F507" s="324">
        <v>0</v>
      </c>
      <c r="H507" s="324">
        <v>0</v>
      </c>
      <c r="J507" s="324">
        <v>-107.73</v>
      </c>
      <c r="K507" s="321">
        <f t="shared" si="7"/>
        <v>0</v>
      </c>
    </row>
    <row r="508" spans="1:11" ht="15.95" customHeight="1" x14ac:dyDescent="0.2">
      <c r="A508" s="323" t="s">
        <v>953</v>
      </c>
      <c r="B508" s="373" t="s">
        <v>954</v>
      </c>
      <c r="C508" s="374"/>
      <c r="D508" s="374"/>
      <c r="E508" s="324">
        <v>-514.91999999999996</v>
      </c>
      <c r="F508" s="324">
        <v>0</v>
      </c>
      <c r="H508" s="324">
        <v>0</v>
      </c>
      <c r="J508" s="324">
        <v>-514.91999999999996</v>
      </c>
      <c r="K508" s="321">
        <f t="shared" si="7"/>
        <v>0</v>
      </c>
    </row>
    <row r="509" spans="1:11" ht="15.95" customHeight="1" x14ac:dyDescent="0.2">
      <c r="A509" s="323" t="s">
        <v>955</v>
      </c>
      <c r="B509" s="373" t="s">
        <v>956</v>
      </c>
      <c r="C509" s="374"/>
      <c r="D509" s="374"/>
      <c r="E509" s="324">
        <v>-18892.57</v>
      </c>
      <c r="F509" s="324">
        <v>0</v>
      </c>
      <c r="H509" s="324">
        <v>0</v>
      </c>
      <c r="J509" s="324">
        <v>-18892.57</v>
      </c>
      <c r="K509" s="321">
        <f t="shared" si="7"/>
        <v>0</v>
      </c>
    </row>
    <row r="510" spans="1:11" ht="15.95" customHeight="1" x14ac:dyDescent="0.2">
      <c r="A510" s="323" t="s">
        <v>957</v>
      </c>
      <c r="B510" s="373" t="s">
        <v>958</v>
      </c>
      <c r="C510" s="374"/>
      <c r="D510" s="374"/>
      <c r="E510" s="324">
        <v>-2092.9</v>
      </c>
      <c r="F510" s="324">
        <v>0</v>
      </c>
      <c r="H510" s="324">
        <v>0</v>
      </c>
      <c r="J510" s="324">
        <v>-2092.9</v>
      </c>
      <c r="K510" s="321">
        <f t="shared" si="7"/>
        <v>0</v>
      </c>
    </row>
    <row r="511" spans="1:11" ht="15.95" customHeight="1" x14ac:dyDescent="0.2">
      <c r="A511" s="323" t="s">
        <v>959</v>
      </c>
      <c r="B511" s="373" t="s">
        <v>960</v>
      </c>
      <c r="C511" s="374"/>
      <c r="D511" s="374"/>
      <c r="E511" s="324">
        <v>-198.92</v>
      </c>
      <c r="F511" s="324">
        <v>0</v>
      </c>
      <c r="H511" s="324">
        <v>0</v>
      </c>
      <c r="J511" s="324">
        <v>-198.92</v>
      </c>
      <c r="K511" s="321">
        <f t="shared" si="7"/>
        <v>0</v>
      </c>
    </row>
    <row r="512" spans="1:11" ht="15.95" customHeight="1" x14ac:dyDescent="0.2">
      <c r="A512" s="323" t="s">
        <v>961</v>
      </c>
      <c r="B512" s="373" t="s">
        <v>962</v>
      </c>
      <c r="C512" s="374"/>
      <c r="D512" s="374"/>
      <c r="E512" s="324">
        <v>-631.79999999999995</v>
      </c>
      <c r="F512" s="324">
        <v>0</v>
      </c>
      <c r="H512" s="324">
        <v>0</v>
      </c>
      <c r="J512" s="324">
        <v>-631.79999999999995</v>
      </c>
      <c r="K512" s="321">
        <f t="shared" si="7"/>
        <v>0</v>
      </c>
    </row>
    <row r="513" spans="1:11" ht="15.95" customHeight="1" x14ac:dyDescent="0.2">
      <c r="A513" s="323" t="s">
        <v>963</v>
      </c>
      <c r="B513" s="373" t="s">
        <v>964</v>
      </c>
      <c r="C513" s="374"/>
      <c r="D513" s="374"/>
      <c r="E513" s="324">
        <v>-11.83</v>
      </c>
      <c r="F513" s="324">
        <v>0</v>
      </c>
      <c r="H513" s="324">
        <v>0</v>
      </c>
      <c r="J513" s="324">
        <v>-11.83</v>
      </c>
      <c r="K513" s="321">
        <f t="shared" si="7"/>
        <v>0</v>
      </c>
    </row>
    <row r="514" spans="1:11" ht="15.95" customHeight="1" x14ac:dyDescent="0.2">
      <c r="A514" s="323" t="s">
        <v>965</v>
      </c>
      <c r="B514" s="373" t="s">
        <v>966</v>
      </c>
      <c r="C514" s="374"/>
      <c r="D514" s="374"/>
      <c r="E514" s="324">
        <v>-1312.41</v>
      </c>
      <c r="F514" s="324">
        <v>0</v>
      </c>
      <c r="H514" s="324">
        <v>0</v>
      </c>
      <c r="J514" s="324">
        <v>-1312.41</v>
      </c>
      <c r="K514" s="321">
        <f t="shared" si="7"/>
        <v>0</v>
      </c>
    </row>
    <row r="515" spans="1:11" ht="15.95" customHeight="1" x14ac:dyDescent="0.2">
      <c r="A515" s="323" t="s">
        <v>967</v>
      </c>
      <c r="B515" s="373" t="s">
        <v>968</v>
      </c>
      <c r="C515" s="374"/>
      <c r="D515" s="374"/>
      <c r="E515" s="324">
        <v>-334.96</v>
      </c>
      <c r="F515" s="324">
        <v>0</v>
      </c>
      <c r="H515" s="324">
        <v>0</v>
      </c>
      <c r="J515" s="324">
        <v>-334.96</v>
      </c>
      <c r="K515" s="321">
        <f t="shared" ref="K515:K578" si="8">J515-E515</f>
        <v>0</v>
      </c>
    </row>
    <row r="516" spans="1:11" ht="15.95" customHeight="1" x14ac:dyDescent="0.2">
      <c r="A516" s="323" t="s">
        <v>969</v>
      </c>
      <c r="B516" s="373" t="s">
        <v>970</v>
      </c>
      <c r="C516" s="374"/>
      <c r="D516" s="374"/>
      <c r="E516" s="324">
        <v>-59.39</v>
      </c>
      <c r="F516" s="324">
        <v>0</v>
      </c>
      <c r="H516" s="324">
        <v>0</v>
      </c>
      <c r="J516" s="324">
        <v>-59.39</v>
      </c>
      <c r="K516" s="321">
        <f t="shared" si="8"/>
        <v>0</v>
      </c>
    </row>
    <row r="517" spans="1:11" ht="15.95" customHeight="1" x14ac:dyDescent="0.2">
      <c r="A517" s="323" t="s">
        <v>971</v>
      </c>
      <c r="B517" s="373" t="s">
        <v>972</v>
      </c>
      <c r="C517" s="374"/>
      <c r="D517" s="374"/>
      <c r="E517" s="324">
        <v>-1929.28</v>
      </c>
      <c r="F517" s="324">
        <v>0</v>
      </c>
      <c r="H517" s="324">
        <v>0</v>
      </c>
      <c r="J517" s="324">
        <v>-1929.28</v>
      </c>
      <c r="K517" s="321">
        <f t="shared" si="8"/>
        <v>0</v>
      </c>
    </row>
    <row r="518" spans="1:11" ht="15.95" customHeight="1" x14ac:dyDescent="0.2">
      <c r="A518" s="323" t="s">
        <v>973</v>
      </c>
      <c r="B518" s="373" t="s">
        <v>974</v>
      </c>
      <c r="C518" s="374"/>
      <c r="D518" s="374"/>
      <c r="E518" s="324">
        <v>-465600.1</v>
      </c>
      <c r="F518" s="324">
        <v>0</v>
      </c>
      <c r="H518" s="324">
        <v>0</v>
      </c>
      <c r="J518" s="324">
        <v>-465600.1</v>
      </c>
      <c r="K518" s="321">
        <f t="shared" si="8"/>
        <v>0</v>
      </c>
    </row>
    <row r="519" spans="1:11" ht="15.95" customHeight="1" x14ac:dyDescent="0.2">
      <c r="A519" s="323">
        <v>2170104</v>
      </c>
      <c r="B519" s="373" t="s">
        <v>975</v>
      </c>
      <c r="C519" s="374"/>
      <c r="D519" s="374"/>
      <c r="E519" s="324">
        <v>-712781.69</v>
      </c>
      <c r="F519" s="324">
        <v>0</v>
      </c>
      <c r="H519" s="324">
        <v>10.199999999999999</v>
      </c>
      <c r="J519" s="324">
        <v>-712791.89</v>
      </c>
      <c r="K519" s="321">
        <f t="shared" si="8"/>
        <v>-10.200000000069849</v>
      </c>
    </row>
    <row r="520" spans="1:11" ht="15.95" customHeight="1" x14ac:dyDescent="0.2">
      <c r="A520" s="323" t="s">
        <v>976</v>
      </c>
      <c r="B520" s="373" t="s">
        <v>977</v>
      </c>
      <c r="C520" s="374"/>
      <c r="D520" s="374"/>
      <c r="E520" s="324">
        <v>-849.06</v>
      </c>
      <c r="F520" s="324">
        <v>0</v>
      </c>
      <c r="H520" s="324">
        <v>0</v>
      </c>
      <c r="J520" s="324">
        <v>-849.06</v>
      </c>
      <c r="K520" s="321">
        <f t="shared" si="8"/>
        <v>0</v>
      </c>
    </row>
    <row r="521" spans="1:11" ht="15.95" customHeight="1" x14ac:dyDescent="0.2">
      <c r="A521" s="323" t="s">
        <v>978</v>
      </c>
      <c r="B521" s="373" t="s">
        <v>979</v>
      </c>
      <c r="C521" s="374"/>
      <c r="D521" s="374"/>
      <c r="E521" s="324">
        <v>-27781.55</v>
      </c>
      <c r="F521" s="324">
        <v>0</v>
      </c>
      <c r="H521" s="324">
        <v>0</v>
      </c>
      <c r="J521" s="324">
        <v>-27781.55</v>
      </c>
      <c r="K521" s="321">
        <f t="shared" si="8"/>
        <v>0</v>
      </c>
    </row>
    <row r="522" spans="1:11" ht="15.95" customHeight="1" x14ac:dyDescent="0.2">
      <c r="A522" s="323" t="s">
        <v>980</v>
      </c>
      <c r="B522" s="373" t="s">
        <v>981</v>
      </c>
      <c r="C522" s="374"/>
      <c r="D522" s="374"/>
      <c r="E522" s="324">
        <v>-6195.02</v>
      </c>
      <c r="F522" s="324">
        <v>0</v>
      </c>
      <c r="H522" s="324">
        <v>0</v>
      </c>
      <c r="J522" s="324">
        <v>-6195.02</v>
      </c>
      <c r="K522" s="321">
        <f t="shared" si="8"/>
        <v>0</v>
      </c>
    </row>
    <row r="523" spans="1:11" ht="15.95" customHeight="1" x14ac:dyDescent="0.2">
      <c r="A523" s="323" t="s">
        <v>982</v>
      </c>
      <c r="B523" s="373" t="s">
        <v>983</v>
      </c>
      <c r="C523" s="374"/>
      <c r="D523" s="374"/>
      <c r="E523" s="324">
        <v>-63.22</v>
      </c>
      <c r="F523" s="324">
        <v>0</v>
      </c>
      <c r="H523" s="324">
        <v>0</v>
      </c>
      <c r="J523" s="324">
        <v>-63.22</v>
      </c>
      <c r="K523" s="321">
        <f t="shared" si="8"/>
        <v>0</v>
      </c>
    </row>
    <row r="524" spans="1:11" ht="15.95" customHeight="1" x14ac:dyDescent="0.2">
      <c r="A524" s="323" t="s">
        <v>984</v>
      </c>
      <c r="B524" s="373" t="s">
        <v>985</v>
      </c>
      <c r="C524" s="374"/>
      <c r="D524" s="374"/>
      <c r="E524" s="324">
        <v>-1061.8</v>
      </c>
      <c r="F524" s="324">
        <v>0</v>
      </c>
      <c r="H524" s="324">
        <v>0</v>
      </c>
      <c r="J524" s="324">
        <v>-1061.8</v>
      </c>
      <c r="K524" s="321">
        <f t="shared" si="8"/>
        <v>0</v>
      </c>
    </row>
    <row r="525" spans="1:11" ht="15.95" customHeight="1" x14ac:dyDescent="0.2">
      <c r="A525" s="323" t="s">
        <v>986</v>
      </c>
      <c r="B525" s="373" t="s">
        <v>987</v>
      </c>
      <c r="C525" s="374"/>
      <c r="D525" s="374"/>
      <c r="E525" s="324">
        <v>-134339.62</v>
      </c>
      <c r="F525" s="324">
        <v>0</v>
      </c>
      <c r="H525" s="324">
        <v>0</v>
      </c>
      <c r="J525" s="324">
        <v>-134339.62</v>
      </c>
      <c r="K525" s="321">
        <f t="shared" si="8"/>
        <v>0</v>
      </c>
    </row>
    <row r="526" spans="1:11" ht="15.95" customHeight="1" x14ac:dyDescent="0.2">
      <c r="A526" s="323" t="s">
        <v>988</v>
      </c>
      <c r="B526" s="373" t="s">
        <v>989</v>
      </c>
      <c r="C526" s="374"/>
      <c r="D526" s="374"/>
      <c r="E526" s="324">
        <v>-176.92</v>
      </c>
      <c r="F526" s="324">
        <v>0</v>
      </c>
      <c r="H526" s="324">
        <v>0</v>
      </c>
      <c r="J526" s="324">
        <v>-176.92</v>
      </c>
      <c r="K526" s="321">
        <f t="shared" si="8"/>
        <v>0</v>
      </c>
    </row>
    <row r="527" spans="1:11" ht="15.95" customHeight="1" x14ac:dyDescent="0.2">
      <c r="A527" s="323" t="s">
        <v>990</v>
      </c>
      <c r="B527" s="373" t="s">
        <v>991</v>
      </c>
      <c r="C527" s="374"/>
      <c r="D527" s="374"/>
      <c r="E527" s="324">
        <v>-19700.63</v>
      </c>
      <c r="F527" s="324">
        <v>0</v>
      </c>
      <c r="H527" s="324">
        <v>0</v>
      </c>
      <c r="J527" s="324">
        <v>-19700.63</v>
      </c>
      <c r="K527" s="321">
        <f t="shared" si="8"/>
        <v>0</v>
      </c>
    </row>
    <row r="528" spans="1:11" ht="15.95" customHeight="1" x14ac:dyDescent="0.2">
      <c r="A528" s="323" t="s">
        <v>992</v>
      </c>
      <c r="B528" s="373" t="s">
        <v>993</v>
      </c>
      <c r="C528" s="374"/>
      <c r="D528" s="374"/>
      <c r="E528" s="324">
        <v>-201984.8</v>
      </c>
      <c r="F528" s="324">
        <v>0</v>
      </c>
      <c r="H528" s="324">
        <v>0</v>
      </c>
      <c r="J528" s="324">
        <v>-201984.8</v>
      </c>
      <c r="K528" s="321">
        <f t="shared" si="8"/>
        <v>0</v>
      </c>
    </row>
    <row r="529" spans="1:11" ht="15.95" customHeight="1" x14ac:dyDescent="0.2">
      <c r="A529" s="323" t="s">
        <v>994</v>
      </c>
      <c r="B529" s="373" t="s">
        <v>995</v>
      </c>
      <c r="C529" s="374"/>
      <c r="D529" s="374"/>
      <c r="E529" s="324">
        <v>-447.8</v>
      </c>
      <c r="F529" s="324">
        <v>0</v>
      </c>
      <c r="H529" s="324">
        <v>0</v>
      </c>
      <c r="J529" s="324">
        <v>-447.8</v>
      </c>
      <c r="K529" s="321">
        <f t="shared" si="8"/>
        <v>0</v>
      </c>
    </row>
    <row r="530" spans="1:11" ht="15.95" customHeight="1" x14ac:dyDescent="0.2">
      <c r="A530" s="323" t="s">
        <v>996</v>
      </c>
      <c r="B530" s="373" t="s">
        <v>997</v>
      </c>
      <c r="C530" s="374"/>
      <c r="D530" s="374"/>
      <c r="E530" s="324">
        <v>-68.72</v>
      </c>
      <c r="F530" s="324">
        <v>0</v>
      </c>
      <c r="H530" s="324">
        <v>0</v>
      </c>
      <c r="J530" s="324">
        <v>-68.72</v>
      </c>
      <c r="K530" s="321">
        <f t="shared" si="8"/>
        <v>0</v>
      </c>
    </row>
    <row r="531" spans="1:11" ht="15.95" customHeight="1" x14ac:dyDescent="0.2">
      <c r="A531" s="323" t="s">
        <v>998</v>
      </c>
      <c r="B531" s="373" t="s">
        <v>999</v>
      </c>
      <c r="C531" s="374"/>
      <c r="D531" s="374"/>
      <c r="E531" s="324">
        <v>-1189.55</v>
      </c>
      <c r="F531" s="324">
        <v>0</v>
      </c>
      <c r="H531" s="324">
        <v>0</v>
      </c>
      <c r="J531" s="324">
        <v>-1189.55</v>
      </c>
      <c r="K531" s="321">
        <f t="shared" si="8"/>
        <v>0</v>
      </c>
    </row>
    <row r="532" spans="1:11" ht="15.95" customHeight="1" x14ac:dyDescent="0.2">
      <c r="A532" s="323" t="s">
        <v>1000</v>
      </c>
      <c r="B532" s="373" t="s">
        <v>1001</v>
      </c>
      <c r="C532" s="374"/>
      <c r="D532" s="374"/>
      <c r="E532" s="324">
        <v>-774.09</v>
      </c>
      <c r="F532" s="324">
        <v>0</v>
      </c>
      <c r="H532" s="324">
        <v>0</v>
      </c>
      <c r="J532" s="324">
        <v>-774.09</v>
      </c>
      <c r="K532" s="321">
        <f t="shared" si="8"/>
        <v>0</v>
      </c>
    </row>
    <row r="533" spans="1:11" ht="15.95" customHeight="1" x14ac:dyDescent="0.2">
      <c r="A533" s="323" t="s">
        <v>1002</v>
      </c>
      <c r="B533" s="373" t="s">
        <v>1003</v>
      </c>
      <c r="C533" s="374"/>
      <c r="D533" s="374"/>
      <c r="E533" s="324">
        <v>-360</v>
      </c>
      <c r="F533" s="324">
        <v>0</v>
      </c>
      <c r="H533" s="324">
        <v>0</v>
      </c>
      <c r="J533" s="324">
        <v>-360</v>
      </c>
      <c r="K533" s="321">
        <f t="shared" si="8"/>
        <v>0</v>
      </c>
    </row>
    <row r="534" spans="1:11" ht="15.95" customHeight="1" x14ac:dyDescent="0.2">
      <c r="A534" s="323" t="s">
        <v>1004</v>
      </c>
      <c r="B534" s="373" t="s">
        <v>1005</v>
      </c>
      <c r="C534" s="374"/>
      <c r="D534" s="374"/>
      <c r="E534" s="324">
        <v>-2180.19</v>
      </c>
      <c r="F534" s="324">
        <v>0</v>
      </c>
      <c r="H534" s="324">
        <v>0</v>
      </c>
      <c r="J534" s="324">
        <v>-2180.19</v>
      </c>
      <c r="K534" s="321">
        <f t="shared" si="8"/>
        <v>0</v>
      </c>
    </row>
    <row r="535" spans="1:11" ht="15.95" customHeight="1" x14ac:dyDescent="0.2">
      <c r="A535" s="323" t="s">
        <v>1006</v>
      </c>
      <c r="B535" s="373" t="s">
        <v>1007</v>
      </c>
      <c r="C535" s="374"/>
      <c r="D535" s="374"/>
      <c r="E535" s="324">
        <v>-23381.37</v>
      </c>
      <c r="F535" s="324">
        <v>0</v>
      </c>
      <c r="H535" s="324">
        <v>0</v>
      </c>
      <c r="J535" s="324">
        <v>-23381.37</v>
      </c>
      <c r="K535" s="321">
        <f t="shared" si="8"/>
        <v>0</v>
      </c>
    </row>
    <row r="536" spans="1:11" ht="15.95" customHeight="1" x14ac:dyDescent="0.2">
      <c r="A536" s="323" t="s">
        <v>1008</v>
      </c>
      <c r="B536" s="373" t="s">
        <v>1009</v>
      </c>
      <c r="C536" s="374"/>
      <c r="D536" s="374"/>
      <c r="E536" s="324">
        <v>-36.67</v>
      </c>
      <c r="F536" s="324">
        <v>0</v>
      </c>
      <c r="H536" s="324">
        <v>0</v>
      </c>
      <c r="J536" s="324">
        <v>-36.67</v>
      </c>
      <c r="K536" s="321">
        <f t="shared" si="8"/>
        <v>0</v>
      </c>
    </row>
    <row r="537" spans="1:11" ht="15.95" customHeight="1" x14ac:dyDescent="0.2">
      <c r="A537" s="323" t="s">
        <v>1010</v>
      </c>
      <c r="B537" s="373" t="s">
        <v>1011</v>
      </c>
      <c r="C537" s="374"/>
      <c r="D537" s="374"/>
      <c r="E537" s="324">
        <v>-130436.47</v>
      </c>
      <c r="F537" s="324">
        <v>0</v>
      </c>
      <c r="H537" s="324">
        <v>0</v>
      </c>
      <c r="J537" s="324">
        <v>-130436.47</v>
      </c>
      <c r="K537" s="321">
        <f t="shared" si="8"/>
        <v>0</v>
      </c>
    </row>
    <row r="538" spans="1:11" ht="15.95" customHeight="1" x14ac:dyDescent="0.2">
      <c r="A538" s="323" t="s">
        <v>1012</v>
      </c>
      <c r="B538" s="373" t="s">
        <v>1013</v>
      </c>
      <c r="C538" s="374"/>
      <c r="D538" s="374"/>
      <c r="E538" s="324">
        <v>-90761.279999999999</v>
      </c>
      <c r="F538" s="324">
        <v>0</v>
      </c>
      <c r="H538" s="324">
        <v>0</v>
      </c>
      <c r="J538" s="324">
        <v>-90761.279999999999</v>
      </c>
      <c r="K538" s="321">
        <f t="shared" si="8"/>
        <v>0</v>
      </c>
    </row>
    <row r="539" spans="1:11" ht="15.95" customHeight="1" x14ac:dyDescent="0.2">
      <c r="A539" s="323" t="s">
        <v>1014</v>
      </c>
      <c r="B539" s="373" t="s">
        <v>1015</v>
      </c>
      <c r="C539" s="374"/>
      <c r="D539" s="374"/>
      <c r="E539" s="324">
        <v>-8820.4599999999991</v>
      </c>
      <c r="F539" s="324">
        <v>0</v>
      </c>
      <c r="H539" s="324">
        <v>0</v>
      </c>
      <c r="J539" s="324">
        <v>-8820.4599999999991</v>
      </c>
      <c r="K539" s="321">
        <f t="shared" si="8"/>
        <v>0</v>
      </c>
    </row>
    <row r="540" spans="1:11" ht="15.95" customHeight="1" x14ac:dyDescent="0.2">
      <c r="A540" s="323" t="s">
        <v>1016</v>
      </c>
      <c r="B540" s="373" t="s">
        <v>1017</v>
      </c>
      <c r="C540" s="374"/>
      <c r="D540" s="374"/>
      <c r="E540" s="324">
        <v>-670.72</v>
      </c>
      <c r="F540" s="324">
        <v>0</v>
      </c>
      <c r="H540" s="324">
        <v>0</v>
      </c>
      <c r="J540" s="324">
        <v>-670.72</v>
      </c>
      <c r="K540" s="321">
        <f t="shared" si="8"/>
        <v>0</v>
      </c>
    </row>
    <row r="541" spans="1:11" ht="27.95" customHeight="1" x14ac:dyDescent="0.2">
      <c r="A541" s="323" t="s">
        <v>1018</v>
      </c>
      <c r="B541" s="373" t="s">
        <v>1019</v>
      </c>
      <c r="C541" s="374"/>
      <c r="D541" s="374"/>
      <c r="E541" s="324">
        <v>-3221.15</v>
      </c>
      <c r="F541" s="324">
        <v>0</v>
      </c>
      <c r="H541" s="324">
        <v>0</v>
      </c>
      <c r="J541" s="324">
        <v>-3221.15</v>
      </c>
      <c r="K541" s="321">
        <f t="shared" si="8"/>
        <v>0</v>
      </c>
    </row>
    <row r="542" spans="1:11" ht="15.95" customHeight="1" x14ac:dyDescent="0.2">
      <c r="A542" s="323" t="s">
        <v>1020</v>
      </c>
      <c r="B542" s="373" t="s">
        <v>1021</v>
      </c>
      <c r="C542" s="374"/>
      <c r="D542" s="374"/>
      <c r="E542" s="324">
        <v>-200.03</v>
      </c>
      <c r="F542" s="324">
        <v>0</v>
      </c>
      <c r="H542" s="324">
        <v>0</v>
      </c>
      <c r="J542" s="324">
        <v>-200.03</v>
      </c>
      <c r="K542" s="321">
        <f t="shared" si="8"/>
        <v>0</v>
      </c>
    </row>
    <row r="543" spans="1:11" ht="15.95" customHeight="1" x14ac:dyDescent="0.2">
      <c r="A543" s="323" t="s">
        <v>1022</v>
      </c>
      <c r="B543" s="373" t="s">
        <v>1023</v>
      </c>
      <c r="C543" s="374"/>
      <c r="D543" s="374"/>
      <c r="E543" s="324">
        <v>-339.25</v>
      </c>
      <c r="F543" s="324">
        <v>0</v>
      </c>
      <c r="H543" s="324">
        <v>0</v>
      </c>
      <c r="J543" s="324">
        <v>-339.25</v>
      </c>
      <c r="K543" s="321">
        <f t="shared" si="8"/>
        <v>0</v>
      </c>
    </row>
    <row r="544" spans="1:11" ht="15.95" customHeight="1" x14ac:dyDescent="0.2">
      <c r="A544" s="323" t="s">
        <v>1024</v>
      </c>
      <c r="B544" s="373" t="s">
        <v>1025</v>
      </c>
      <c r="C544" s="374"/>
      <c r="D544" s="374"/>
      <c r="E544" s="324">
        <v>-200.03</v>
      </c>
      <c r="F544" s="324">
        <v>0</v>
      </c>
      <c r="H544" s="324">
        <v>0</v>
      </c>
      <c r="J544" s="324">
        <v>-200.03</v>
      </c>
      <c r="K544" s="321">
        <f t="shared" si="8"/>
        <v>0</v>
      </c>
    </row>
    <row r="545" spans="1:11" ht="15.95" customHeight="1" x14ac:dyDescent="0.2">
      <c r="A545" s="323" t="s">
        <v>1026</v>
      </c>
      <c r="B545" s="373" t="s">
        <v>1027</v>
      </c>
      <c r="C545" s="374"/>
      <c r="D545" s="374"/>
      <c r="E545" s="324">
        <v>-508.19</v>
      </c>
      <c r="F545" s="324">
        <v>0</v>
      </c>
      <c r="H545" s="324">
        <v>0</v>
      </c>
      <c r="J545" s="324">
        <v>-508.19</v>
      </c>
      <c r="K545" s="321">
        <f t="shared" si="8"/>
        <v>0</v>
      </c>
    </row>
    <row r="546" spans="1:11" ht="15.95" customHeight="1" x14ac:dyDescent="0.2">
      <c r="A546" s="323" t="s">
        <v>1028</v>
      </c>
      <c r="B546" s="373" t="s">
        <v>1029</v>
      </c>
      <c r="C546" s="374"/>
      <c r="D546" s="374"/>
      <c r="E546" s="324">
        <v>-30882.47</v>
      </c>
      <c r="F546" s="324">
        <v>0</v>
      </c>
      <c r="H546" s="324">
        <v>0</v>
      </c>
      <c r="J546" s="324">
        <v>-30882.47</v>
      </c>
      <c r="K546" s="321">
        <f t="shared" si="8"/>
        <v>0</v>
      </c>
    </row>
    <row r="547" spans="1:11" ht="15.95" customHeight="1" x14ac:dyDescent="0.2">
      <c r="A547" s="323" t="s">
        <v>1030</v>
      </c>
      <c r="B547" s="373" t="s">
        <v>1031</v>
      </c>
      <c r="C547" s="374"/>
      <c r="D547" s="374"/>
      <c r="E547" s="324">
        <v>-2991.81</v>
      </c>
      <c r="F547" s="324">
        <v>0</v>
      </c>
      <c r="H547" s="324">
        <v>0</v>
      </c>
      <c r="J547" s="324">
        <v>-2991.81</v>
      </c>
      <c r="K547" s="321">
        <f t="shared" si="8"/>
        <v>0</v>
      </c>
    </row>
    <row r="548" spans="1:11" ht="15.95" customHeight="1" x14ac:dyDescent="0.2">
      <c r="A548" s="323" t="s">
        <v>1032</v>
      </c>
      <c r="B548" s="373" t="s">
        <v>1033</v>
      </c>
      <c r="C548" s="374"/>
      <c r="D548" s="374"/>
      <c r="E548" s="324">
        <v>-585.83000000000004</v>
      </c>
      <c r="F548" s="324">
        <v>0</v>
      </c>
      <c r="H548" s="324">
        <v>0</v>
      </c>
      <c r="J548" s="324">
        <v>-585.83000000000004</v>
      </c>
      <c r="K548" s="321">
        <f t="shared" si="8"/>
        <v>0</v>
      </c>
    </row>
    <row r="549" spans="1:11" ht="15.95" customHeight="1" x14ac:dyDescent="0.2">
      <c r="A549" s="323" t="s">
        <v>1034</v>
      </c>
      <c r="B549" s="373" t="s">
        <v>1035</v>
      </c>
      <c r="C549" s="374"/>
      <c r="D549" s="374"/>
      <c r="E549" s="324">
        <v>-233.11</v>
      </c>
      <c r="F549" s="324">
        <v>0</v>
      </c>
      <c r="H549" s="324">
        <v>10.199999999999999</v>
      </c>
      <c r="J549" s="324">
        <v>-243.31</v>
      </c>
      <c r="K549" s="321">
        <f t="shared" si="8"/>
        <v>-10.199999999999989</v>
      </c>
    </row>
    <row r="550" spans="1:11" ht="15.95" customHeight="1" x14ac:dyDescent="0.2">
      <c r="A550" s="323" t="s">
        <v>1036</v>
      </c>
      <c r="B550" s="373" t="s">
        <v>1037</v>
      </c>
      <c r="C550" s="374"/>
      <c r="D550" s="374"/>
      <c r="E550" s="324">
        <v>-48.41</v>
      </c>
      <c r="F550" s="324">
        <v>0</v>
      </c>
      <c r="H550" s="324">
        <v>0</v>
      </c>
      <c r="J550" s="324">
        <v>-48.41</v>
      </c>
      <c r="K550" s="321">
        <f t="shared" si="8"/>
        <v>0</v>
      </c>
    </row>
    <row r="551" spans="1:11" ht="15.95" customHeight="1" x14ac:dyDescent="0.2">
      <c r="A551" s="323" t="s">
        <v>1038</v>
      </c>
      <c r="B551" s="373" t="s">
        <v>1039</v>
      </c>
      <c r="C551" s="374"/>
      <c r="D551" s="374"/>
      <c r="E551" s="324">
        <v>-16060.29</v>
      </c>
      <c r="F551" s="324">
        <v>0</v>
      </c>
      <c r="H551" s="324">
        <v>0</v>
      </c>
      <c r="J551" s="324">
        <v>-16060.29</v>
      </c>
      <c r="K551" s="321">
        <f t="shared" si="8"/>
        <v>0</v>
      </c>
    </row>
    <row r="552" spans="1:11" ht="15.95" customHeight="1" x14ac:dyDescent="0.2">
      <c r="A552" s="323" t="s">
        <v>1040</v>
      </c>
      <c r="B552" s="373" t="s">
        <v>1041</v>
      </c>
      <c r="C552" s="374"/>
      <c r="D552" s="374"/>
      <c r="E552" s="324">
        <v>-6231.18</v>
      </c>
      <c r="F552" s="324">
        <v>0</v>
      </c>
      <c r="H552" s="324">
        <v>0</v>
      </c>
      <c r="J552" s="324">
        <v>-6231.18</v>
      </c>
      <c r="K552" s="321">
        <f t="shared" si="8"/>
        <v>0</v>
      </c>
    </row>
    <row r="553" spans="1:11" ht="15.95" customHeight="1" x14ac:dyDescent="0.2">
      <c r="A553" s="323">
        <v>218</v>
      </c>
      <c r="B553" s="373" t="s">
        <v>1042</v>
      </c>
      <c r="C553" s="374"/>
      <c r="D553" s="374"/>
      <c r="E553" s="324">
        <v>-440153.31</v>
      </c>
      <c r="F553" s="324">
        <v>100000.99</v>
      </c>
      <c r="H553" s="324">
        <v>500011.3</v>
      </c>
      <c r="J553" s="324">
        <v>-840163.62</v>
      </c>
      <c r="K553" s="321">
        <f t="shared" si="8"/>
        <v>-400010.31</v>
      </c>
    </row>
    <row r="554" spans="1:11" ht="15.95" customHeight="1" x14ac:dyDescent="0.2">
      <c r="A554" s="325">
        <v>21801</v>
      </c>
      <c r="B554" s="375" t="s">
        <v>1043</v>
      </c>
      <c r="C554" s="376"/>
      <c r="D554" s="376"/>
      <c r="E554" s="326">
        <v>111312.41</v>
      </c>
      <c r="F554" s="326" t="s">
        <v>2095</v>
      </c>
      <c r="G554" s="327"/>
      <c r="H554" s="326">
        <v>11.3</v>
      </c>
      <c r="I554" s="327"/>
      <c r="J554" s="326">
        <v>111302.1</v>
      </c>
      <c r="K554" s="327">
        <f t="shared" si="8"/>
        <v>-10.309999999997672</v>
      </c>
    </row>
    <row r="555" spans="1:11" ht="15.95" customHeight="1" x14ac:dyDescent="0.2">
      <c r="A555" s="323">
        <v>2180102</v>
      </c>
      <c r="B555" s="373" t="s">
        <v>1044</v>
      </c>
      <c r="C555" s="374"/>
      <c r="D555" s="374"/>
      <c r="E555" s="324">
        <v>-91868.13</v>
      </c>
      <c r="F555" s="324" t="s">
        <v>2095</v>
      </c>
      <c r="H555" s="324">
        <v>4.4000000000000004</v>
      </c>
      <c r="J555" s="324">
        <v>-91871.54</v>
      </c>
      <c r="K555" s="321">
        <f t="shared" si="8"/>
        <v>-3.4099999999889405</v>
      </c>
    </row>
    <row r="556" spans="1:11" ht="15.95" customHeight="1" x14ac:dyDescent="0.2">
      <c r="A556" s="323" t="s">
        <v>1045</v>
      </c>
      <c r="B556" s="373" t="s">
        <v>1046</v>
      </c>
      <c r="C556" s="374"/>
      <c r="D556" s="374"/>
      <c r="E556" s="324">
        <v>-91868.13</v>
      </c>
      <c r="F556" s="324" t="s">
        <v>2095</v>
      </c>
      <c r="H556" s="324">
        <v>4.4000000000000004</v>
      </c>
      <c r="J556" s="324">
        <v>-91871.54</v>
      </c>
      <c r="K556" s="321">
        <f t="shared" si="8"/>
        <v>-3.4099999999889405</v>
      </c>
    </row>
    <row r="557" spans="1:11" ht="15.95" customHeight="1" x14ac:dyDescent="0.2">
      <c r="A557" s="323">
        <v>2180103</v>
      </c>
      <c r="B557" s="373" t="s">
        <v>1047</v>
      </c>
      <c r="C557" s="374"/>
      <c r="D557" s="374"/>
      <c r="E557" s="324">
        <v>203180.54</v>
      </c>
      <c r="F557" s="324">
        <v>0</v>
      </c>
      <c r="H557" s="324">
        <v>6.9</v>
      </c>
      <c r="J557" s="324">
        <v>203173.64</v>
      </c>
      <c r="K557" s="321">
        <f t="shared" si="8"/>
        <v>-6.8999999999941792</v>
      </c>
    </row>
    <row r="558" spans="1:11" ht="15.95" customHeight="1" x14ac:dyDescent="0.2">
      <c r="A558" s="323" t="s">
        <v>1048</v>
      </c>
      <c r="B558" s="373" t="s">
        <v>1049</v>
      </c>
      <c r="C558" s="374"/>
      <c r="D558" s="374"/>
      <c r="E558" s="324">
        <v>203180.54</v>
      </c>
      <c r="F558" s="324">
        <v>0</v>
      </c>
      <c r="H558" s="324">
        <v>6.9</v>
      </c>
      <c r="J558" s="324">
        <v>203173.64</v>
      </c>
      <c r="K558" s="321">
        <f t="shared" si="8"/>
        <v>-6.8999999999941792</v>
      </c>
    </row>
    <row r="559" spans="1:11" ht="15.95" customHeight="1" x14ac:dyDescent="0.2">
      <c r="A559" s="325">
        <v>21802</v>
      </c>
      <c r="B559" s="375" t="s">
        <v>1050</v>
      </c>
      <c r="C559" s="376"/>
      <c r="D559" s="376"/>
      <c r="E559" s="326">
        <v>-551465.72</v>
      </c>
      <c r="F559" s="326">
        <v>100000</v>
      </c>
      <c r="G559" s="327"/>
      <c r="H559" s="326">
        <v>500000</v>
      </c>
      <c r="I559" s="327"/>
      <c r="J559" s="326">
        <v>-951465.72</v>
      </c>
      <c r="K559" s="327">
        <f t="shared" si="8"/>
        <v>-400000</v>
      </c>
    </row>
    <row r="560" spans="1:11" ht="15.95" customHeight="1" x14ac:dyDescent="0.2">
      <c r="A560" s="323">
        <v>2180201</v>
      </c>
      <c r="B560" s="373" t="s">
        <v>1051</v>
      </c>
      <c r="C560" s="374"/>
      <c r="D560" s="374"/>
      <c r="E560" s="324">
        <v>-33549.699999999997</v>
      </c>
      <c r="F560" s="324">
        <v>100000</v>
      </c>
      <c r="H560" s="324">
        <v>500000</v>
      </c>
      <c r="J560" s="324">
        <v>-433549.7</v>
      </c>
      <c r="K560" s="321">
        <f t="shared" si="8"/>
        <v>-400000</v>
      </c>
    </row>
    <row r="561" spans="1:11" ht="15.95" customHeight="1" x14ac:dyDescent="0.2">
      <c r="A561" s="323" t="s">
        <v>1052</v>
      </c>
      <c r="B561" s="373" t="s">
        <v>1053</v>
      </c>
      <c r="C561" s="374"/>
      <c r="D561" s="374"/>
      <c r="E561" s="324">
        <v>-33549.699999999997</v>
      </c>
      <c r="F561" s="324">
        <v>100000</v>
      </c>
      <c r="H561" s="324">
        <v>500000</v>
      </c>
      <c r="J561" s="324">
        <v>-433549.7</v>
      </c>
      <c r="K561" s="321">
        <f t="shared" si="8"/>
        <v>-400000</v>
      </c>
    </row>
    <row r="562" spans="1:11" ht="15.95" customHeight="1" x14ac:dyDescent="0.2">
      <c r="A562" s="323">
        <v>2180202</v>
      </c>
      <c r="B562" s="373" t="s">
        <v>1054</v>
      </c>
      <c r="C562" s="374"/>
      <c r="D562" s="374"/>
      <c r="E562" s="324">
        <v>-3333.33</v>
      </c>
      <c r="F562" s="324">
        <v>0</v>
      </c>
      <c r="H562" s="324">
        <v>0</v>
      </c>
      <c r="J562" s="324">
        <v>-3333.33</v>
      </c>
      <c r="K562" s="321">
        <f t="shared" si="8"/>
        <v>0</v>
      </c>
    </row>
    <row r="563" spans="1:11" ht="15.95" customHeight="1" x14ac:dyDescent="0.2">
      <c r="A563" s="323" t="s">
        <v>1055</v>
      </c>
      <c r="B563" s="373" t="s">
        <v>1054</v>
      </c>
      <c r="C563" s="374"/>
      <c r="D563" s="374"/>
      <c r="E563" s="324">
        <v>-3333.33</v>
      </c>
      <c r="F563" s="324">
        <v>0</v>
      </c>
      <c r="H563" s="324">
        <v>0</v>
      </c>
      <c r="J563" s="324">
        <v>-3333.33</v>
      </c>
      <c r="K563" s="321">
        <f t="shared" si="8"/>
        <v>0</v>
      </c>
    </row>
    <row r="564" spans="1:11" ht="15.95" customHeight="1" x14ac:dyDescent="0.2">
      <c r="A564" s="323">
        <v>2180203</v>
      </c>
      <c r="B564" s="373" t="s">
        <v>1056</v>
      </c>
      <c r="C564" s="374"/>
      <c r="D564" s="374"/>
      <c r="E564" s="324">
        <v>-514582.69</v>
      </c>
      <c r="F564" s="324">
        <v>0</v>
      </c>
      <c r="H564" s="324">
        <v>0</v>
      </c>
      <c r="J564" s="324">
        <v>-514582.69</v>
      </c>
      <c r="K564" s="321">
        <f t="shared" si="8"/>
        <v>0</v>
      </c>
    </row>
    <row r="565" spans="1:11" ht="15.95" customHeight="1" x14ac:dyDescent="0.2">
      <c r="A565" s="323" t="s">
        <v>1057</v>
      </c>
      <c r="B565" s="373" t="s">
        <v>1056</v>
      </c>
      <c r="C565" s="374"/>
      <c r="D565" s="374"/>
      <c r="E565" s="324">
        <v>-514582.69</v>
      </c>
      <c r="F565" s="324">
        <v>0</v>
      </c>
      <c r="H565" s="324">
        <v>0</v>
      </c>
      <c r="J565" s="324">
        <v>-514582.69</v>
      </c>
      <c r="K565" s="321">
        <f t="shared" si="8"/>
        <v>0</v>
      </c>
    </row>
    <row r="566" spans="1:11" ht="15.95" customHeight="1" x14ac:dyDescent="0.2">
      <c r="A566" s="325">
        <v>219</v>
      </c>
      <c r="B566" s="375" t="s">
        <v>1058</v>
      </c>
      <c r="C566" s="376"/>
      <c r="D566" s="376"/>
      <c r="E566" s="326">
        <v>-3080742.57</v>
      </c>
      <c r="F566" s="326">
        <v>1311893.22</v>
      </c>
      <c r="G566" s="327"/>
      <c r="H566" s="326">
        <v>1128020.68</v>
      </c>
      <c r="I566" s="327"/>
      <c r="J566" s="326">
        <v>-2896870.03</v>
      </c>
      <c r="K566" s="327">
        <f t="shared" si="8"/>
        <v>183872.54000000004</v>
      </c>
    </row>
    <row r="567" spans="1:11" ht="15.95" customHeight="1" x14ac:dyDescent="0.2">
      <c r="A567" s="323">
        <v>21901</v>
      </c>
      <c r="B567" s="373" t="s">
        <v>1058</v>
      </c>
      <c r="C567" s="374"/>
      <c r="D567" s="374"/>
      <c r="E567" s="324">
        <v>-3080742.57</v>
      </c>
      <c r="F567" s="324">
        <v>1311893.22</v>
      </c>
      <c r="H567" s="324">
        <v>1128020.68</v>
      </c>
      <c r="J567" s="324">
        <v>-2896870.03</v>
      </c>
      <c r="K567" s="321">
        <f t="shared" si="8"/>
        <v>183872.54000000004</v>
      </c>
    </row>
    <row r="568" spans="1:11" ht="15.95" customHeight="1" x14ac:dyDescent="0.2">
      <c r="A568" s="323">
        <v>2190101</v>
      </c>
      <c r="B568" s="373" t="s">
        <v>1058</v>
      </c>
      <c r="C568" s="374"/>
      <c r="D568" s="374"/>
      <c r="E568" s="324">
        <v>-3080742.57</v>
      </c>
      <c r="F568" s="324">
        <v>1311893.22</v>
      </c>
      <c r="H568" s="324">
        <v>1128020.68</v>
      </c>
      <c r="J568" s="324">
        <v>-2896870.03</v>
      </c>
      <c r="K568" s="321">
        <f t="shared" si="8"/>
        <v>183872.54000000004</v>
      </c>
    </row>
    <row r="569" spans="1:11" ht="15.95" customHeight="1" x14ac:dyDescent="0.2">
      <c r="A569" s="323" t="s">
        <v>1059</v>
      </c>
      <c r="B569" s="373" t="s">
        <v>1060</v>
      </c>
      <c r="C569" s="374"/>
      <c r="D569" s="374"/>
      <c r="E569" s="324">
        <v>-588983.49</v>
      </c>
      <c r="F569" s="324">
        <v>134793.82</v>
      </c>
      <c r="H569" s="324">
        <v>307912.09999999998</v>
      </c>
      <c r="J569" s="324">
        <v>-762101.77</v>
      </c>
      <c r="K569" s="321">
        <f t="shared" si="8"/>
        <v>-173118.28000000003</v>
      </c>
    </row>
    <row r="570" spans="1:11" ht="15.95" customHeight="1" x14ac:dyDescent="0.2">
      <c r="A570" s="323" t="s">
        <v>1061</v>
      </c>
      <c r="B570" s="373" t="s">
        <v>1062</v>
      </c>
      <c r="C570" s="374"/>
      <c r="D570" s="374"/>
      <c r="E570" s="324">
        <v>-1523551.05</v>
      </c>
      <c r="F570" s="324">
        <v>740178.08</v>
      </c>
      <c r="H570" s="324">
        <v>571490.75</v>
      </c>
      <c r="J570" s="324">
        <v>-1354863.72</v>
      </c>
      <c r="K570" s="321">
        <f t="shared" si="8"/>
        <v>168687.33000000007</v>
      </c>
    </row>
    <row r="571" spans="1:11" ht="15.95" customHeight="1" x14ac:dyDescent="0.2">
      <c r="A571" s="323" t="s">
        <v>1063</v>
      </c>
      <c r="B571" s="373" t="s">
        <v>1064</v>
      </c>
      <c r="C571" s="374"/>
      <c r="D571" s="374"/>
      <c r="E571" s="324">
        <v>-406788.16</v>
      </c>
      <c r="F571" s="324">
        <v>160238.22</v>
      </c>
      <c r="H571" s="324">
        <v>115198.77</v>
      </c>
      <c r="J571" s="324">
        <v>-361748.71</v>
      </c>
      <c r="K571" s="321">
        <f t="shared" si="8"/>
        <v>45039.449999999953</v>
      </c>
    </row>
    <row r="572" spans="1:11" ht="15.95" customHeight="1" x14ac:dyDescent="0.2">
      <c r="A572" s="323" t="s">
        <v>1065</v>
      </c>
      <c r="B572" s="373" t="s">
        <v>1066</v>
      </c>
      <c r="C572" s="374"/>
      <c r="D572" s="374"/>
      <c r="E572" s="324">
        <v>-121884.13</v>
      </c>
      <c r="F572" s="324">
        <v>48011.59</v>
      </c>
      <c r="H572" s="324">
        <v>34516.54</v>
      </c>
      <c r="J572" s="324">
        <v>-108389.08</v>
      </c>
      <c r="K572" s="321">
        <f t="shared" si="8"/>
        <v>13495.050000000003</v>
      </c>
    </row>
    <row r="573" spans="1:11" ht="15.95" customHeight="1" x14ac:dyDescent="0.2">
      <c r="A573" s="323" t="s">
        <v>1067</v>
      </c>
      <c r="B573" s="373" t="s">
        <v>1068</v>
      </c>
      <c r="C573" s="374"/>
      <c r="D573" s="374"/>
      <c r="E573" s="324">
        <v>-235014.88</v>
      </c>
      <c r="F573" s="324">
        <v>193587.98</v>
      </c>
      <c r="H573" s="324">
        <v>3746.95</v>
      </c>
      <c r="J573" s="324">
        <v>-45173.85</v>
      </c>
      <c r="K573" s="321">
        <f t="shared" si="8"/>
        <v>189841.03</v>
      </c>
    </row>
    <row r="574" spans="1:11" ht="15.95" customHeight="1" x14ac:dyDescent="0.2">
      <c r="A574" s="323" t="s">
        <v>1069</v>
      </c>
      <c r="B574" s="373" t="s">
        <v>1070</v>
      </c>
      <c r="C574" s="374"/>
      <c r="D574" s="374"/>
      <c r="E574" s="324">
        <v>-157370.95000000001</v>
      </c>
      <c r="F574" s="324">
        <v>26995.1</v>
      </c>
      <c r="H574" s="324">
        <v>73217.679999999993</v>
      </c>
      <c r="J574" s="324">
        <v>-203593.53</v>
      </c>
      <c r="K574" s="321">
        <f t="shared" si="8"/>
        <v>-46222.579999999987</v>
      </c>
    </row>
    <row r="575" spans="1:11" ht="15.95" customHeight="1" x14ac:dyDescent="0.2">
      <c r="A575" s="323" t="s">
        <v>1071</v>
      </c>
      <c r="B575" s="373" t="s">
        <v>1072</v>
      </c>
      <c r="C575" s="374"/>
      <c r="D575" s="374"/>
      <c r="E575" s="324">
        <v>-47149.91</v>
      </c>
      <c r="F575" s="324">
        <v>8088.43</v>
      </c>
      <c r="H575" s="324">
        <v>21937.89</v>
      </c>
      <c r="J575" s="324">
        <v>-60999.37</v>
      </c>
      <c r="K575" s="321">
        <f t="shared" si="8"/>
        <v>-13849.46</v>
      </c>
    </row>
    <row r="576" spans="1:11" ht="15.95" customHeight="1" x14ac:dyDescent="0.2">
      <c r="A576" s="323">
        <v>22</v>
      </c>
      <c r="B576" s="373" t="s">
        <v>1073</v>
      </c>
      <c r="C576" s="374"/>
      <c r="D576" s="374"/>
      <c r="E576" s="324">
        <v>-55010927.619999997</v>
      </c>
      <c r="F576" s="324">
        <v>171522.73</v>
      </c>
      <c r="H576" s="324">
        <v>854106.56</v>
      </c>
      <c r="J576" s="324">
        <v>-55693511.450000003</v>
      </c>
      <c r="K576" s="321">
        <f t="shared" si="8"/>
        <v>-682583.83000000566</v>
      </c>
    </row>
    <row r="577" spans="1:11" ht="15.95" customHeight="1" x14ac:dyDescent="0.2">
      <c r="A577" s="325">
        <v>224</v>
      </c>
      <c r="B577" s="375" t="s">
        <v>1074</v>
      </c>
      <c r="C577" s="376"/>
      <c r="D577" s="376"/>
      <c r="E577" s="326">
        <v>-3314040.57</v>
      </c>
      <c r="F577" s="326">
        <v>171522.73</v>
      </c>
      <c r="G577" s="327"/>
      <c r="H577" s="326">
        <v>55440.04</v>
      </c>
      <c r="I577" s="327"/>
      <c r="J577" s="326">
        <v>-3197957.88</v>
      </c>
      <c r="K577" s="327">
        <f t="shared" si="8"/>
        <v>116082.68999999994</v>
      </c>
    </row>
    <row r="578" spans="1:11" ht="15.95" customHeight="1" x14ac:dyDescent="0.2">
      <c r="A578" s="323">
        <v>22401</v>
      </c>
      <c r="B578" s="373" t="s">
        <v>1075</v>
      </c>
      <c r="C578" s="374"/>
      <c r="D578" s="374"/>
      <c r="E578" s="324">
        <v>-3314040.57</v>
      </c>
      <c r="F578" s="324">
        <v>171522.73</v>
      </c>
      <c r="H578" s="324">
        <v>55440.04</v>
      </c>
      <c r="J578" s="324">
        <v>-3197957.88</v>
      </c>
      <c r="K578" s="321">
        <f t="shared" si="8"/>
        <v>116082.68999999994</v>
      </c>
    </row>
    <row r="579" spans="1:11" ht="15.95" customHeight="1" x14ac:dyDescent="0.2">
      <c r="A579" s="323">
        <v>2240101</v>
      </c>
      <c r="B579" s="373" t="s">
        <v>1075</v>
      </c>
      <c r="C579" s="374"/>
      <c r="D579" s="374"/>
      <c r="E579" s="324">
        <v>-3314040.57</v>
      </c>
      <c r="F579" s="324">
        <v>171522.73</v>
      </c>
      <c r="H579" s="324">
        <v>55440.04</v>
      </c>
      <c r="J579" s="324">
        <v>-3197957.88</v>
      </c>
      <c r="K579" s="321">
        <f t="shared" ref="K579:K642" si="9">J579-E579</f>
        <v>116082.68999999994</v>
      </c>
    </row>
    <row r="580" spans="1:11" ht="15.95" customHeight="1" x14ac:dyDescent="0.2">
      <c r="A580" s="323" t="s">
        <v>1076</v>
      </c>
      <c r="B580" s="373" t="s">
        <v>634</v>
      </c>
      <c r="C580" s="374"/>
      <c r="D580" s="374"/>
      <c r="E580" s="324">
        <v>-3187632.96</v>
      </c>
      <c r="F580" s="324">
        <v>157453.92000000001</v>
      </c>
      <c r="H580" s="324">
        <v>55249</v>
      </c>
      <c r="J580" s="324">
        <v>-3085428.04</v>
      </c>
      <c r="K580" s="321">
        <f t="shared" si="9"/>
        <v>102204.91999999993</v>
      </c>
    </row>
    <row r="581" spans="1:11" ht="15.95" customHeight="1" x14ac:dyDescent="0.2">
      <c r="A581" s="323" t="s">
        <v>1077</v>
      </c>
      <c r="B581" s="373" t="s">
        <v>652</v>
      </c>
      <c r="C581" s="374"/>
      <c r="D581" s="374"/>
      <c r="E581" s="324">
        <v>-126407.61</v>
      </c>
      <c r="F581" s="324">
        <v>14068.81</v>
      </c>
      <c r="H581" s="324">
        <v>191.04</v>
      </c>
      <c r="J581" s="324">
        <v>-112529.84</v>
      </c>
      <c r="K581" s="321">
        <f t="shared" si="9"/>
        <v>13877.770000000004</v>
      </c>
    </row>
    <row r="582" spans="1:11" ht="15.95" customHeight="1" x14ac:dyDescent="0.2">
      <c r="A582" s="325">
        <v>225</v>
      </c>
      <c r="B582" s="375" t="s">
        <v>1078</v>
      </c>
      <c r="C582" s="376"/>
      <c r="D582" s="376"/>
      <c r="E582" s="326">
        <v>-51696887.049999997</v>
      </c>
      <c r="F582" s="326">
        <v>0</v>
      </c>
      <c r="G582" s="327"/>
      <c r="H582" s="326">
        <v>798666.52</v>
      </c>
      <c r="I582" s="327"/>
      <c r="J582" s="326">
        <v>-52495553.57</v>
      </c>
      <c r="K582" s="327">
        <f t="shared" si="9"/>
        <v>-798666.52000000328</v>
      </c>
    </row>
    <row r="583" spans="1:11" ht="15.95" customHeight="1" x14ac:dyDescent="0.2">
      <c r="A583" s="323">
        <v>22501</v>
      </c>
      <c r="B583" s="373" t="s">
        <v>1079</v>
      </c>
      <c r="C583" s="374"/>
      <c r="D583" s="374"/>
      <c r="E583" s="324">
        <v>-51696887.049999997</v>
      </c>
      <c r="F583" s="324">
        <v>0</v>
      </c>
      <c r="H583" s="324">
        <v>798666.52</v>
      </c>
      <c r="J583" s="324">
        <v>-52495553.57</v>
      </c>
      <c r="K583" s="321">
        <f t="shared" si="9"/>
        <v>-798666.52000000328</v>
      </c>
    </row>
    <row r="584" spans="1:11" ht="15.95" customHeight="1" x14ac:dyDescent="0.2">
      <c r="A584" s="323">
        <v>2250101</v>
      </c>
      <c r="B584" s="373" t="s">
        <v>1079</v>
      </c>
      <c r="C584" s="374"/>
      <c r="D584" s="374"/>
      <c r="E584" s="324">
        <v>-51696887.049999997</v>
      </c>
      <c r="F584" s="324">
        <v>0</v>
      </c>
      <c r="H584" s="324">
        <v>798666.52</v>
      </c>
      <c r="J584" s="324">
        <v>-52495553.57</v>
      </c>
      <c r="K584" s="321">
        <f t="shared" si="9"/>
        <v>-798666.52000000328</v>
      </c>
    </row>
    <row r="585" spans="1:11" ht="15.95" customHeight="1" x14ac:dyDescent="0.2">
      <c r="A585" s="323" t="s">
        <v>1080</v>
      </c>
      <c r="B585" s="373" t="s">
        <v>1081</v>
      </c>
      <c r="C585" s="374"/>
      <c r="D585" s="374"/>
      <c r="E585" s="324">
        <v>-51695785.240000002</v>
      </c>
      <c r="F585" s="324">
        <v>0</v>
      </c>
      <c r="H585" s="324">
        <v>798649.5</v>
      </c>
      <c r="J585" s="324">
        <v>-52494434.740000002</v>
      </c>
      <c r="K585" s="321">
        <f t="shared" si="9"/>
        <v>-798649.5</v>
      </c>
    </row>
    <row r="586" spans="1:11" ht="15.95" customHeight="1" x14ac:dyDescent="0.2">
      <c r="A586" s="323" t="s">
        <v>1082</v>
      </c>
      <c r="B586" s="373" t="s">
        <v>1083</v>
      </c>
      <c r="C586" s="374"/>
      <c r="D586" s="374"/>
      <c r="E586" s="324">
        <v>-1101.81</v>
      </c>
      <c r="F586" s="324">
        <v>0</v>
      </c>
      <c r="H586" s="324">
        <v>17.02</v>
      </c>
      <c r="J586" s="324">
        <v>-1118.83</v>
      </c>
      <c r="K586" s="321">
        <f t="shared" si="9"/>
        <v>-17.019999999999982</v>
      </c>
    </row>
    <row r="587" spans="1:11" ht="15.95" customHeight="1" x14ac:dyDescent="0.2">
      <c r="A587" s="323">
        <v>23</v>
      </c>
      <c r="B587" s="373" t="s">
        <v>1091</v>
      </c>
      <c r="C587" s="374"/>
      <c r="D587" s="374"/>
      <c r="E587" s="324">
        <v>-249534534.38</v>
      </c>
      <c r="F587" s="324">
        <v>8493289.8599999994</v>
      </c>
      <c r="H587" s="324">
        <v>2991120.92</v>
      </c>
      <c r="J587" s="324">
        <v>-244032365.44</v>
      </c>
      <c r="K587" s="321">
        <f t="shared" si="9"/>
        <v>5502168.9399999976</v>
      </c>
    </row>
    <row r="588" spans="1:11" ht="15.95" customHeight="1" x14ac:dyDescent="0.2">
      <c r="A588" s="323">
        <v>231</v>
      </c>
      <c r="B588" s="373" t="s">
        <v>1092</v>
      </c>
      <c r="C588" s="374"/>
      <c r="D588" s="374"/>
      <c r="E588" s="324">
        <v>-273318713.10000002</v>
      </c>
      <c r="F588" s="324">
        <v>0</v>
      </c>
      <c r="H588" s="324">
        <v>0</v>
      </c>
      <c r="J588" s="324">
        <v>-273318713.10000002</v>
      </c>
      <c r="K588" s="321">
        <f t="shared" si="9"/>
        <v>0</v>
      </c>
    </row>
    <row r="589" spans="1:11" ht="15.95" customHeight="1" x14ac:dyDescent="0.2">
      <c r="A589" s="323">
        <v>23101</v>
      </c>
      <c r="B589" s="373" t="s">
        <v>1092</v>
      </c>
      <c r="C589" s="374"/>
      <c r="D589" s="374"/>
      <c r="E589" s="324">
        <v>-273318713.10000002</v>
      </c>
      <c r="F589" s="324">
        <v>0</v>
      </c>
      <c r="H589" s="324">
        <v>0</v>
      </c>
      <c r="J589" s="324">
        <v>-273318713.10000002</v>
      </c>
      <c r="K589" s="321">
        <f t="shared" si="9"/>
        <v>0</v>
      </c>
    </row>
    <row r="590" spans="1:11" ht="15.95" customHeight="1" x14ac:dyDescent="0.2">
      <c r="A590" s="323">
        <v>2310101</v>
      </c>
      <c r="B590" s="373" t="s">
        <v>1092</v>
      </c>
      <c r="C590" s="374"/>
      <c r="D590" s="374"/>
      <c r="E590" s="324">
        <v>-273318713.10000002</v>
      </c>
      <c r="F590" s="324">
        <v>0</v>
      </c>
      <c r="H590" s="324">
        <v>0</v>
      </c>
      <c r="J590" s="324">
        <v>-273318713.10000002</v>
      </c>
      <c r="K590" s="321">
        <f t="shared" si="9"/>
        <v>0</v>
      </c>
    </row>
    <row r="591" spans="1:11" ht="15.95" customHeight="1" x14ac:dyDescent="0.2">
      <c r="A591" s="323" t="s">
        <v>1093</v>
      </c>
      <c r="B591" s="373" t="s">
        <v>1081</v>
      </c>
      <c r="C591" s="374"/>
      <c r="D591" s="374"/>
      <c r="E591" s="324">
        <v>-273137529.44</v>
      </c>
      <c r="F591" s="324">
        <v>0</v>
      </c>
      <c r="H591" s="324">
        <v>0</v>
      </c>
      <c r="J591" s="324">
        <v>-273137529.44</v>
      </c>
      <c r="K591" s="321">
        <f t="shared" si="9"/>
        <v>0</v>
      </c>
    </row>
    <row r="592" spans="1:11" ht="15.95" customHeight="1" x14ac:dyDescent="0.2">
      <c r="A592" s="323" t="s">
        <v>1094</v>
      </c>
      <c r="B592" s="373" t="s">
        <v>1083</v>
      </c>
      <c r="C592" s="374"/>
      <c r="D592" s="374"/>
      <c r="E592" s="324">
        <v>-181183.66</v>
      </c>
      <c r="F592" s="324">
        <v>0</v>
      </c>
      <c r="H592" s="324">
        <v>0</v>
      </c>
      <c r="J592" s="324">
        <v>-181183.66</v>
      </c>
      <c r="K592" s="321">
        <f t="shared" si="9"/>
        <v>0</v>
      </c>
    </row>
    <row r="593" spans="1:11" ht="15.95" customHeight="1" x14ac:dyDescent="0.2">
      <c r="A593" s="323">
        <v>234</v>
      </c>
      <c r="B593" s="373" t="s">
        <v>1095</v>
      </c>
      <c r="C593" s="374"/>
      <c r="D593" s="374"/>
      <c r="E593" s="324">
        <v>2783577.44</v>
      </c>
      <c r="F593" s="324">
        <v>0</v>
      </c>
      <c r="H593" s="324">
        <v>2783577.44</v>
      </c>
      <c r="J593" s="324">
        <v>0</v>
      </c>
      <c r="K593" s="321">
        <f t="shared" si="9"/>
        <v>-2783577.44</v>
      </c>
    </row>
    <row r="594" spans="1:11" ht="15.95" customHeight="1" x14ac:dyDescent="0.2">
      <c r="A594" s="323">
        <v>23401</v>
      </c>
      <c r="B594" s="373" t="s">
        <v>1096</v>
      </c>
      <c r="C594" s="374"/>
      <c r="D594" s="374"/>
      <c r="E594" s="324">
        <v>2783577.44</v>
      </c>
      <c r="F594" s="324">
        <v>0</v>
      </c>
      <c r="H594" s="324">
        <v>2783577.44</v>
      </c>
      <c r="J594" s="324">
        <v>0</v>
      </c>
      <c r="K594" s="321">
        <f t="shared" si="9"/>
        <v>-2783577.44</v>
      </c>
    </row>
    <row r="595" spans="1:11" ht="27.95" customHeight="1" x14ac:dyDescent="0.2">
      <c r="A595" s="323">
        <v>2340101</v>
      </c>
      <c r="B595" s="373" t="s">
        <v>1096</v>
      </c>
      <c r="C595" s="374"/>
      <c r="D595" s="374"/>
      <c r="E595" s="324">
        <v>2783577.44</v>
      </c>
      <c r="F595" s="324">
        <v>0</v>
      </c>
      <c r="H595" s="324">
        <v>2783577.44</v>
      </c>
      <c r="J595" s="324">
        <v>0</v>
      </c>
      <c r="K595" s="321">
        <f t="shared" si="9"/>
        <v>-2783577.44</v>
      </c>
    </row>
    <row r="596" spans="1:11" ht="15.95" customHeight="1" x14ac:dyDescent="0.2">
      <c r="A596" s="323" t="s">
        <v>1545</v>
      </c>
      <c r="B596" s="373" t="s">
        <v>1095</v>
      </c>
      <c r="C596" s="374"/>
      <c r="D596" s="374"/>
      <c r="E596" s="324">
        <v>2783577.44</v>
      </c>
      <c r="F596" s="324">
        <v>0</v>
      </c>
      <c r="H596" s="324">
        <v>2783577.44</v>
      </c>
      <c r="J596" s="324">
        <v>0</v>
      </c>
      <c r="K596" s="321">
        <f t="shared" si="9"/>
        <v>-2783577.44</v>
      </c>
    </row>
    <row r="597" spans="1:11" ht="15.95" customHeight="1" x14ac:dyDescent="0.2">
      <c r="A597" s="323">
        <v>237</v>
      </c>
      <c r="B597" s="373" t="s">
        <v>1099</v>
      </c>
      <c r="C597" s="374"/>
      <c r="D597" s="374"/>
      <c r="E597" s="324">
        <v>-1421542.5</v>
      </c>
      <c r="F597" s="324">
        <v>0</v>
      </c>
      <c r="H597" s="324">
        <v>21606.15</v>
      </c>
      <c r="J597" s="324">
        <v>-1443148.65</v>
      </c>
      <c r="K597" s="321">
        <f t="shared" si="9"/>
        <v>-21606.149999999907</v>
      </c>
    </row>
    <row r="598" spans="1:11" ht="15.95" customHeight="1" x14ac:dyDescent="0.2">
      <c r="A598" s="323">
        <v>23701</v>
      </c>
      <c r="B598" s="373" t="s">
        <v>1100</v>
      </c>
      <c r="C598" s="374"/>
      <c r="D598" s="374"/>
      <c r="E598" s="324">
        <v>-1421542.5</v>
      </c>
      <c r="F598" s="324">
        <v>0</v>
      </c>
      <c r="H598" s="324">
        <v>21606.15</v>
      </c>
      <c r="J598" s="324">
        <v>-1443148.65</v>
      </c>
      <c r="K598" s="321">
        <f t="shared" si="9"/>
        <v>-21606.149999999907</v>
      </c>
    </row>
    <row r="599" spans="1:11" ht="15.95" customHeight="1" x14ac:dyDescent="0.2">
      <c r="A599" s="323">
        <v>2370101</v>
      </c>
      <c r="B599" s="373" t="s">
        <v>1100</v>
      </c>
      <c r="C599" s="374"/>
      <c r="D599" s="374"/>
      <c r="E599" s="324">
        <v>-1421542.5</v>
      </c>
      <c r="F599" s="324">
        <v>0</v>
      </c>
      <c r="H599" s="324">
        <v>21606.15</v>
      </c>
      <c r="J599" s="324">
        <v>-1443148.65</v>
      </c>
      <c r="K599" s="321">
        <f t="shared" si="9"/>
        <v>-21606.149999999907</v>
      </c>
    </row>
    <row r="600" spans="1:11" ht="15.95" customHeight="1" x14ac:dyDescent="0.2">
      <c r="A600" s="325" t="s">
        <v>1101</v>
      </c>
      <c r="B600" s="375" t="s">
        <v>1102</v>
      </c>
      <c r="C600" s="376"/>
      <c r="D600" s="376"/>
      <c r="E600" s="326">
        <v>-1421542.5</v>
      </c>
      <c r="F600" s="326">
        <v>0</v>
      </c>
      <c r="G600" s="327"/>
      <c r="H600" s="326">
        <v>21606.15</v>
      </c>
      <c r="I600" s="327"/>
      <c r="J600" s="326">
        <v>-1443148.65</v>
      </c>
      <c r="K600" s="327">
        <f t="shared" si="9"/>
        <v>-21606.149999999907</v>
      </c>
    </row>
    <row r="601" spans="1:11" ht="15.95" customHeight="1" x14ac:dyDescent="0.2">
      <c r="A601" s="323">
        <v>238</v>
      </c>
      <c r="B601" s="373" t="s">
        <v>1103</v>
      </c>
      <c r="C601" s="374"/>
      <c r="D601" s="374"/>
      <c r="E601" s="324">
        <v>-8546606.6600000001</v>
      </c>
      <c r="F601" s="324">
        <v>0</v>
      </c>
      <c r="H601" s="324">
        <v>0</v>
      </c>
      <c r="J601" s="324">
        <v>-8546606.6600000001</v>
      </c>
      <c r="K601" s="321">
        <f t="shared" si="9"/>
        <v>0</v>
      </c>
    </row>
    <row r="602" spans="1:11" ht="15.95" customHeight="1" x14ac:dyDescent="0.2">
      <c r="A602" s="323">
        <v>23801</v>
      </c>
      <c r="B602" s="373" t="s">
        <v>1103</v>
      </c>
      <c r="C602" s="374"/>
      <c r="D602" s="374"/>
      <c r="E602" s="324">
        <v>-8546606.6600000001</v>
      </c>
      <c r="F602" s="324">
        <v>0</v>
      </c>
      <c r="H602" s="324">
        <v>0</v>
      </c>
      <c r="J602" s="324">
        <v>-8546606.6600000001</v>
      </c>
      <c r="K602" s="321">
        <f t="shared" si="9"/>
        <v>0</v>
      </c>
    </row>
    <row r="603" spans="1:11" ht="15.95" customHeight="1" x14ac:dyDescent="0.2">
      <c r="A603" s="323">
        <v>2380101</v>
      </c>
      <c r="B603" s="373" t="s">
        <v>1103</v>
      </c>
      <c r="C603" s="374"/>
      <c r="D603" s="374"/>
      <c r="E603" s="324">
        <v>-8546606.6600000001</v>
      </c>
      <c r="F603" s="324">
        <v>0</v>
      </c>
      <c r="H603" s="324">
        <v>0</v>
      </c>
      <c r="J603" s="324">
        <v>-8546606.6600000001</v>
      </c>
      <c r="K603" s="321">
        <f t="shared" si="9"/>
        <v>0</v>
      </c>
    </row>
    <row r="604" spans="1:11" ht="15.95" customHeight="1" x14ac:dyDescent="0.2">
      <c r="A604" s="323" t="s">
        <v>1104</v>
      </c>
      <c r="B604" s="373" t="s">
        <v>1081</v>
      </c>
      <c r="C604" s="374"/>
      <c r="D604" s="374"/>
      <c r="E604" s="324">
        <v>-8546606.6600000001</v>
      </c>
      <c r="F604" s="324">
        <v>0</v>
      </c>
      <c r="H604" s="324">
        <v>0</v>
      </c>
      <c r="J604" s="324">
        <v>-8546606.6600000001</v>
      </c>
      <c r="K604" s="321">
        <f t="shared" si="9"/>
        <v>0</v>
      </c>
    </row>
    <row r="605" spans="1:11" ht="15.95" customHeight="1" x14ac:dyDescent="0.2">
      <c r="A605" s="323">
        <v>239</v>
      </c>
      <c r="B605" s="373" t="s">
        <v>1105</v>
      </c>
      <c r="C605" s="374"/>
      <c r="D605" s="374"/>
      <c r="E605" s="324">
        <v>30968750.440000001</v>
      </c>
      <c r="F605" s="324">
        <v>8493289.8599999994</v>
      </c>
      <c r="H605" s="324">
        <v>185937.33</v>
      </c>
      <c r="J605" s="324">
        <v>39276102.969999999</v>
      </c>
      <c r="K605" s="321">
        <f t="shared" si="9"/>
        <v>8307352.5299999975</v>
      </c>
    </row>
    <row r="606" spans="1:11" ht="15.95" customHeight="1" x14ac:dyDescent="0.2">
      <c r="A606" s="323">
        <v>23901</v>
      </c>
      <c r="B606" s="373" t="s">
        <v>1105</v>
      </c>
      <c r="C606" s="374"/>
      <c r="D606" s="374"/>
      <c r="E606" s="324">
        <v>30968750.440000001</v>
      </c>
      <c r="F606" s="324">
        <v>8493289.8599999994</v>
      </c>
      <c r="H606" s="324">
        <v>185937.33</v>
      </c>
      <c r="J606" s="324">
        <v>39276102.969999999</v>
      </c>
      <c r="K606" s="321">
        <f t="shared" si="9"/>
        <v>8307352.5299999975</v>
      </c>
    </row>
    <row r="607" spans="1:11" ht="15.95" customHeight="1" x14ac:dyDescent="0.2">
      <c r="A607" s="323">
        <v>2390101</v>
      </c>
      <c r="B607" s="373" t="s">
        <v>1106</v>
      </c>
      <c r="C607" s="374"/>
      <c r="D607" s="374"/>
      <c r="E607" s="324">
        <v>16295158.73</v>
      </c>
      <c r="F607" s="324">
        <v>8493289.8599999994</v>
      </c>
      <c r="H607" s="324">
        <v>0</v>
      </c>
      <c r="J607" s="324">
        <v>24788448.59</v>
      </c>
      <c r="K607" s="321">
        <f t="shared" si="9"/>
        <v>8493289.8599999994</v>
      </c>
    </row>
    <row r="608" spans="1:11" ht="15.95" customHeight="1" x14ac:dyDescent="0.2">
      <c r="A608" s="323" t="s">
        <v>1109</v>
      </c>
      <c r="B608" s="373" t="s">
        <v>1110</v>
      </c>
      <c r="C608" s="374"/>
      <c r="D608" s="374"/>
      <c r="E608" s="324">
        <v>16295158.73</v>
      </c>
      <c r="F608" s="324">
        <v>8493289.8599999994</v>
      </c>
      <c r="H608" s="324">
        <v>0</v>
      </c>
      <c r="J608" s="324">
        <v>24788448.59</v>
      </c>
      <c r="K608" s="321">
        <f t="shared" si="9"/>
        <v>8493289.8599999994</v>
      </c>
    </row>
    <row r="609" spans="1:11" ht="15.95" customHeight="1" x14ac:dyDescent="0.2">
      <c r="A609" s="323">
        <v>2390102</v>
      </c>
      <c r="B609" s="373" t="s">
        <v>1111</v>
      </c>
      <c r="C609" s="374"/>
      <c r="D609" s="374"/>
      <c r="E609" s="324">
        <v>14673591.710000001</v>
      </c>
      <c r="F609" s="324">
        <v>0</v>
      </c>
      <c r="H609" s="324">
        <v>185937.33</v>
      </c>
      <c r="J609" s="324">
        <v>14487654.380000001</v>
      </c>
      <c r="K609" s="321">
        <f t="shared" si="9"/>
        <v>-185937.33000000007</v>
      </c>
    </row>
    <row r="610" spans="1:11" ht="15.95" customHeight="1" x14ac:dyDescent="0.2">
      <c r="A610" s="323" t="s">
        <v>1112</v>
      </c>
      <c r="B610" s="373" t="s">
        <v>1113</v>
      </c>
      <c r="C610" s="374"/>
      <c r="D610" s="374"/>
      <c r="E610" s="324">
        <v>14673591.710000001</v>
      </c>
      <c r="F610" s="324">
        <v>0</v>
      </c>
      <c r="H610" s="324">
        <v>185937.33</v>
      </c>
      <c r="J610" s="324">
        <v>14487654.380000001</v>
      </c>
      <c r="K610" s="321">
        <f t="shared" si="9"/>
        <v>-185937.33000000007</v>
      </c>
    </row>
    <row r="611" spans="1:11" ht="15.95" customHeight="1" x14ac:dyDescent="0.2">
      <c r="A611" s="323">
        <v>24</v>
      </c>
      <c r="B611" s="373" t="s">
        <v>1119</v>
      </c>
      <c r="C611" s="374"/>
      <c r="D611" s="374"/>
      <c r="E611" s="324">
        <v>-1236717.49</v>
      </c>
      <c r="F611" s="324">
        <v>0</v>
      </c>
      <c r="H611" s="324">
        <v>0</v>
      </c>
      <c r="J611" s="324">
        <v>-1236717.49</v>
      </c>
      <c r="K611" s="321">
        <f t="shared" si="9"/>
        <v>0</v>
      </c>
    </row>
    <row r="612" spans="1:11" ht="15.95" customHeight="1" x14ac:dyDescent="0.2">
      <c r="A612" s="323">
        <v>241</v>
      </c>
      <c r="B612" s="373" t="s">
        <v>456</v>
      </c>
      <c r="C612" s="374"/>
      <c r="D612" s="374"/>
      <c r="E612" s="324">
        <v>-1236717.49</v>
      </c>
      <c r="F612" s="324">
        <v>0</v>
      </c>
      <c r="H612" s="324">
        <v>0</v>
      </c>
      <c r="J612" s="324">
        <v>-1236717.49</v>
      </c>
      <c r="K612" s="321">
        <f t="shared" si="9"/>
        <v>0</v>
      </c>
    </row>
    <row r="613" spans="1:11" ht="15.95" customHeight="1" x14ac:dyDescent="0.2">
      <c r="A613" s="323">
        <v>24101</v>
      </c>
      <c r="B613" s="373" t="s">
        <v>1120</v>
      </c>
      <c r="C613" s="374"/>
      <c r="D613" s="374"/>
      <c r="E613" s="324">
        <v>-1236717.49</v>
      </c>
      <c r="F613" s="324">
        <v>0</v>
      </c>
      <c r="H613" s="324">
        <v>0</v>
      </c>
      <c r="J613" s="324">
        <v>-1236717.49</v>
      </c>
      <c r="K613" s="321">
        <f t="shared" si="9"/>
        <v>0</v>
      </c>
    </row>
    <row r="614" spans="1:11" ht="15.95" customHeight="1" x14ac:dyDescent="0.2">
      <c r="A614" s="323">
        <v>2410101</v>
      </c>
      <c r="B614" s="373" t="s">
        <v>457</v>
      </c>
      <c r="C614" s="374"/>
      <c r="D614" s="374"/>
      <c r="E614" s="324">
        <v>-1236717.49</v>
      </c>
      <c r="F614" s="324">
        <v>0</v>
      </c>
      <c r="H614" s="324">
        <v>0</v>
      </c>
      <c r="J614" s="324">
        <v>-1236717.49</v>
      </c>
      <c r="K614" s="321">
        <f t="shared" si="9"/>
        <v>0</v>
      </c>
    </row>
    <row r="615" spans="1:11" ht="15.95" customHeight="1" x14ac:dyDescent="0.2">
      <c r="A615" s="323" t="s">
        <v>1121</v>
      </c>
      <c r="B615" s="373" t="s">
        <v>459</v>
      </c>
      <c r="C615" s="374"/>
      <c r="D615" s="374"/>
      <c r="E615" s="324">
        <v>-1236717.49</v>
      </c>
      <c r="F615" s="324">
        <v>0</v>
      </c>
      <c r="H615" s="324">
        <v>0</v>
      </c>
      <c r="J615" s="324">
        <v>-1236717.49</v>
      </c>
      <c r="K615" s="321">
        <f t="shared" si="9"/>
        <v>0</v>
      </c>
    </row>
    <row r="616" spans="1:11" ht="15.95" customHeight="1" x14ac:dyDescent="0.2">
      <c r="A616" s="323">
        <v>3</v>
      </c>
      <c r="B616" s="373" t="s">
        <v>1122</v>
      </c>
      <c r="C616" s="374"/>
      <c r="D616" s="374"/>
      <c r="E616" s="324">
        <v>-25859697.050000001</v>
      </c>
      <c r="F616" s="324">
        <v>2169501.02</v>
      </c>
      <c r="H616" s="324">
        <v>14556431.130000001</v>
      </c>
      <c r="J616" s="324">
        <v>-38246627.159999996</v>
      </c>
      <c r="K616" s="321">
        <f t="shared" si="9"/>
        <v>-12386930.109999996</v>
      </c>
    </row>
    <row r="617" spans="1:11" ht="15.95" customHeight="1" x14ac:dyDescent="0.2">
      <c r="A617" s="323">
        <v>31</v>
      </c>
      <c r="B617" s="373" t="s">
        <v>1123</v>
      </c>
      <c r="C617" s="374"/>
      <c r="D617" s="374"/>
      <c r="E617" s="324">
        <v>-31050795.129999999</v>
      </c>
      <c r="F617" s="324">
        <v>0</v>
      </c>
      <c r="H617" s="324">
        <v>14556431.130000001</v>
      </c>
      <c r="J617" s="324">
        <v>-45607226.259999998</v>
      </c>
      <c r="K617" s="321">
        <f t="shared" si="9"/>
        <v>-14556431.129999999</v>
      </c>
    </row>
    <row r="618" spans="1:11" ht="15.95" customHeight="1" x14ac:dyDescent="0.2">
      <c r="A618" s="323">
        <v>311</v>
      </c>
      <c r="B618" s="373" t="s">
        <v>1124</v>
      </c>
      <c r="C618" s="374"/>
      <c r="D618" s="374"/>
      <c r="E618" s="324">
        <v>-31050795.129999999</v>
      </c>
      <c r="F618" s="324">
        <v>0</v>
      </c>
      <c r="H618" s="324">
        <v>14556431.130000001</v>
      </c>
      <c r="J618" s="324">
        <v>-45607226.259999998</v>
      </c>
      <c r="K618" s="321">
        <f t="shared" si="9"/>
        <v>-14556431.129999999</v>
      </c>
    </row>
    <row r="619" spans="1:11" ht="15.95" customHeight="1" x14ac:dyDescent="0.2">
      <c r="A619" s="323">
        <v>31101</v>
      </c>
      <c r="B619" s="373" t="s">
        <v>1125</v>
      </c>
      <c r="C619" s="374"/>
      <c r="D619" s="374"/>
      <c r="E619" s="324">
        <v>-27193776.600000001</v>
      </c>
      <c r="F619" s="324">
        <v>0</v>
      </c>
      <c r="H619" s="324">
        <v>12911988.65</v>
      </c>
      <c r="J619" s="324">
        <v>-40105765.25</v>
      </c>
      <c r="K619" s="321">
        <f t="shared" si="9"/>
        <v>-12911988.649999999</v>
      </c>
    </row>
    <row r="620" spans="1:11" ht="15.95" customHeight="1" x14ac:dyDescent="0.2">
      <c r="A620" s="323">
        <v>3110101</v>
      </c>
      <c r="B620" s="373" t="s">
        <v>1126</v>
      </c>
      <c r="C620" s="374"/>
      <c r="D620" s="374"/>
      <c r="E620" s="324">
        <v>-27193776.600000001</v>
      </c>
      <c r="F620" s="324">
        <v>0</v>
      </c>
      <c r="H620" s="324">
        <v>12911988.65</v>
      </c>
      <c r="J620" s="324">
        <v>-40105765.25</v>
      </c>
      <c r="K620" s="321">
        <f t="shared" si="9"/>
        <v>-12911988.649999999</v>
      </c>
    </row>
    <row r="621" spans="1:11" ht="15.95" customHeight="1" x14ac:dyDescent="0.2">
      <c r="A621" s="323" t="s">
        <v>1127</v>
      </c>
      <c r="B621" s="373" t="s">
        <v>1128</v>
      </c>
      <c r="C621" s="374"/>
      <c r="D621" s="374"/>
      <c r="E621" s="324">
        <v>-8330327.3300000001</v>
      </c>
      <c r="F621" s="324">
        <v>0</v>
      </c>
      <c r="H621" s="324">
        <v>4216563.17</v>
      </c>
      <c r="J621" s="324">
        <v>-12546890.5</v>
      </c>
      <c r="K621" s="321">
        <f t="shared" si="9"/>
        <v>-4216563.17</v>
      </c>
    </row>
    <row r="622" spans="1:11" ht="15.95" customHeight="1" x14ac:dyDescent="0.2">
      <c r="A622" s="323" t="s">
        <v>1129</v>
      </c>
      <c r="B622" s="373" t="s">
        <v>1130</v>
      </c>
      <c r="C622" s="374"/>
      <c r="D622" s="374"/>
      <c r="E622" s="324">
        <v>-1426950.82</v>
      </c>
      <c r="F622" s="324">
        <v>0</v>
      </c>
      <c r="H622" s="324">
        <v>753241.63</v>
      </c>
      <c r="J622" s="324">
        <v>-2180192.4500000002</v>
      </c>
      <c r="K622" s="321">
        <f t="shared" si="9"/>
        <v>-753241.63000000012</v>
      </c>
    </row>
    <row r="623" spans="1:11" ht="15.95" customHeight="1" x14ac:dyDescent="0.2">
      <c r="A623" s="323" t="s">
        <v>1131</v>
      </c>
      <c r="B623" s="373" t="s">
        <v>1132</v>
      </c>
      <c r="C623" s="374"/>
      <c r="D623" s="374"/>
      <c r="E623" s="324">
        <v>-11426729.289999999</v>
      </c>
      <c r="F623" s="324">
        <v>0</v>
      </c>
      <c r="H623" s="324">
        <v>5897960.04</v>
      </c>
      <c r="J623" s="324">
        <v>-17324689.329999998</v>
      </c>
      <c r="K623" s="321">
        <f t="shared" si="9"/>
        <v>-5897960.0399999991</v>
      </c>
    </row>
    <row r="624" spans="1:11" ht="15.95" customHeight="1" x14ac:dyDescent="0.2">
      <c r="A624" s="323" t="s">
        <v>1133</v>
      </c>
      <c r="B624" s="373" t="s">
        <v>1134</v>
      </c>
      <c r="C624" s="374"/>
      <c r="D624" s="374"/>
      <c r="E624" s="324">
        <v>-858835.55</v>
      </c>
      <c r="F624" s="324">
        <v>0</v>
      </c>
      <c r="H624" s="324">
        <v>209886.56</v>
      </c>
      <c r="J624" s="324">
        <v>-1068722.1100000001</v>
      </c>
      <c r="K624" s="321">
        <f t="shared" si="9"/>
        <v>-209886.56000000006</v>
      </c>
    </row>
    <row r="625" spans="1:11" ht="15.95" customHeight="1" x14ac:dyDescent="0.2">
      <c r="A625" s="323" t="s">
        <v>1135</v>
      </c>
      <c r="B625" s="373" t="s">
        <v>1136</v>
      </c>
      <c r="C625" s="374"/>
      <c r="D625" s="374"/>
      <c r="E625" s="324">
        <v>-5150933.6100000003</v>
      </c>
      <c r="F625" s="324">
        <v>0</v>
      </c>
      <c r="H625" s="324">
        <v>1834337.25</v>
      </c>
      <c r="J625" s="324">
        <v>-6985270.8600000003</v>
      </c>
      <c r="K625" s="321">
        <f t="shared" si="9"/>
        <v>-1834337.25</v>
      </c>
    </row>
    <row r="626" spans="1:11" ht="15.95" customHeight="1" x14ac:dyDescent="0.2">
      <c r="A626" s="323">
        <v>31103</v>
      </c>
      <c r="B626" s="373" t="s">
        <v>1137</v>
      </c>
      <c r="C626" s="374"/>
      <c r="D626" s="374"/>
      <c r="E626" s="324">
        <v>-3857018.53</v>
      </c>
      <c r="F626" s="324">
        <v>0</v>
      </c>
      <c r="H626" s="324">
        <v>1644442.48</v>
      </c>
      <c r="J626" s="324">
        <v>-5501461.0099999998</v>
      </c>
      <c r="K626" s="321">
        <f t="shared" si="9"/>
        <v>-1644442.48</v>
      </c>
    </row>
    <row r="627" spans="1:11" ht="15.95" customHeight="1" x14ac:dyDescent="0.2">
      <c r="A627" s="323">
        <v>3110301</v>
      </c>
      <c r="B627" s="373" t="s">
        <v>1138</v>
      </c>
      <c r="C627" s="374"/>
      <c r="D627" s="374"/>
      <c r="E627" s="324">
        <v>-3857018.53</v>
      </c>
      <c r="F627" s="324">
        <v>0</v>
      </c>
      <c r="H627" s="324">
        <v>1644442.48</v>
      </c>
      <c r="J627" s="324">
        <v>-5501461.0099999998</v>
      </c>
      <c r="K627" s="321">
        <f t="shared" si="9"/>
        <v>-1644442.48</v>
      </c>
    </row>
    <row r="628" spans="1:11" ht="15.95" customHeight="1" x14ac:dyDescent="0.2">
      <c r="A628" s="323" t="s">
        <v>1139</v>
      </c>
      <c r="B628" s="373" t="s">
        <v>1140</v>
      </c>
      <c r="C628" s="374"/>
      <c r="D628" s="374"/>
      <c r="E628" s="324">
        <v>-3731806.03</v>
      </c>
      <c r="F628" s="324">
        <v>0</v>
      </c>
      <c r="H628" s="324">
        <v>1519932.18</v>
      </c>
      <c r="J628" s="324">
        <v>-5251738.21</v>
      </c>
      <c r="K628" s="321">
        <f t="shared" si="9"/>
        <v>-1519932.1800000002</v>
      </c>
    </row>
    <row r="629" spans="1:11" ht="15.95" customHeight="1" x14ac:dyDescent="0.2">
      <c r="A629" s="323" t="s">
        <v>1546</v>
      </c>
      <c r="B629" s="373" t="s">
        <v>1547</v>
      </c>
      <c r="C629" s="374"/>
      <c r="D629" s="374"/>
      <c r="E629" s="324">
        <v>-125212.5</v>
      </c>
      <c r="F629" s="324">
        <v>0</v>
      </c>
      <c r="H629" s="324">
        <v>124510.3</v>
      </c>
      <c r="J629" s="324">
        <v>-249722.8</v>
      </c>
      <c r="K629" s="321">
        <f t="shared" si="9"/>
        <v>-124510.29999999999</v>
      </c>
    </row>
    <row r="630" spans="1:11" ht="15.95" customHeight="1" x14ac:dyDescent="0.2">
      <c r="A630" s="323">
        <v>32</v>
      </c>
      <c r="B630" s="373" t="s">
        <v>1141</v>
      </c>
      <c r="C630" s="374"/>
      <c r="D630" s="374"/>
      <c r="E630" s="324">
        <v>5191098.08</v>
      </c>
      <c r="F630" s="324">
        <v>2169501.02</v>
      </c>
      <c r="H630" s="324">
        <v>0</v>
      </c>
      <c r="J630" s="324">
        <v>7360599.0999999996</v>
      </c>
      <c r="K630" s="321">
        <f t="shared" si="9"/>
        <v>2169501.0199999996</v>
      </c>
    </row>
    <row r="631" spans="1:11" ht="15.95" customHeight="1" x14ac:dyDescent="0.2">
      <c r="A631" s="323">
        <v>321</v>
      </c>
      <c r="B631" s="373" t="s">
        <v>1124</v>
      </c>
      <c r="C631" s="374"/>
      <c r="D631" s="374"/>
      <c r="E631" s="324">
        <v>5191098.08</v>
      </c>
      <c r="F631" s="324">
        <v>2169501.02</v>
      </c>
      <c r="H631" s="324">
        <v>0</v>
      </c>
      <c r="J631" s="324">
        <v>7360599.0999999996</v>
      </c>
      <c r="K631" s="321">
        <f t="shared" si="9"/>
        <v>2169501.0199999996</v>
      </c>
    </row>
    <row r="632" spans="1:11" ht="15.95" customHeight="1" x14ac:dyDescent="0.2">
      <c r="A632" s="323">
        <v>32101</v>
      </c>
      <c r="B632" s="373" t="s">
        <v>1142</v>
      </c>
      <c r="C632" s="374"/>
      <c r="D632" s="374"/>
      <c r="E632" s="324">
        <v>5191098.08</v>
      </c>
      <c r="F632" s="324">
        <v>2169501.02</v>
      </c>
      <c r="H632" s="324">
        <v>0</v>
      </c>
      <c r="J632" s="324">
        <v>7360599.0999999996</v>
      </c>
      <c r="K632" s="321">
        <f t="shared" si="9"/>
        <v>2169501.0199999996</v>
      </c>
    </row>
    <row r="633" spans="1:11" ht="15.95" customHeight="1" x14ac:dyDescent="0.2">
      <c r="A633" s="323">
        <v>3210101</v>
      </c>
      <c r="B633" s="373" t="s">
        <v>1143</v>
      </c>
      <c r="C633" s="374"/>
      <c r="D633" s="374"/>
      <c r="E633" s="324">
        <v>3921795.55</v>
      </c>
      <c r="F633" s="324">
        <v>1874672.02</v>
      </c>
      <c r="H633" s="324">
        <v>0</v>
      </c>
      <c r="J633" s="324">
        <v>5796467.5700000003</v>
      </c>
      <c r="K633" s="321">
        <f t="shared" si="9"/>
        <v>1874672.0200000005</v>
      </c>
    </row>
    <row r="634" spans="1:11" ht="15.95" customHeight="1" x14ac:dyDescent="0.2">
      <c r="A634" s="323" t="s">
        <v>1144</v>
      </c>
      <c r="B634" s="373" t="s">
        <v>1145</v>
      </c>
      <c r="C634" s="374"/>
      <c r="D634" s="374"/>
      <c r="E634" s="324">
        <v>462401.46</v>
      </c>
      <c r="F634" s="324">
        <v>219484.95</v>
      </c>
      <c r="H634" s="324">
        <v>0</v>
      </c>
      <c r="J634" s="324">
        <v>681886.41</v>
      </c>
      <c r="K634" s="321">
        <f t="shared" si="9"/>
        <v>219484.95</v>
      </c>
    </row>
    <row r="635" spans="1:11" ht="15.95" customHeight="1" x14ac:dyDescent="0.2">
      <c r="A635" s="323" t="s">
        <v>1146</v>
      </c>
      <c r="B635" s="373" t="s">
        <v>1147</v>
      </c>
      <c r="C635" s="374"/>
      <c r="D635" s="374"/>
      <c r="E635" s="324">
        <v>2132354.7000000002</v>
      </c>
      <c r="F635" s="324">
        <v>1012004.84</v>
      </c>
      <c r="H635" s="324">
        <v>0</v>
      </c>
      <c r="J635" s="324">
        <v>3144359.54</v>
      </c>
      <c r="K635" s="321">
        <f t="shared" si="9"/>
        <v>1012004.8399999999</v>
      </c>
    </row>
    <row r="636" spans="1:11" ht="15.95" customHeight="1" x14ac:dyDescent="0.2">
      <c r="A636" s="323" t="s">
        <v>1148</v>
      </c>
      <c r="B636" s="373" t="s">
        <v>1149</v>
      </c>
      <c r="C636" s="374"/>
      <c r="D636" s="374"/>
      <c r="E636" s="324">
        <v>1327039.3899999999</v>
      </c>
      <c r="F636" s="324">
        <v>643182.23</v>
      </c>
      <c r="H636" s="324">
        <v>0</v>
      </c>
      <c r="J636" s="324">
        <v>1970221.62</v>
      </c>
      <c r="K636" s="321">
        <f t="shared" si="9"/>
        <v>643182.23000000021</v>
      </c>
    </row>
    <row r="637" spans="1:11" ht="15.95" customHeight="1" x14ac:dyDescent="0.2">
      <c r="A637" s="323">
        <v>3210102</v>
      </c>
      <c r="B637" s="373" t="s">
        <v>1150</v>
      </c>
      <c r="C637" s="374"/>
      <c r="D637" s="374"/>
      <c r="E637" s="324">
        <v>1269302.53</v>
      </c>
      <c r="F637" s="324">
        <v>294829</v>
      </c>
      <c r="H637" s="324">
        <v>0</v>
      </c>
      <c r="J637" s="324">
        <v>1564131.53</v>
      </c>
      <c r="K637" s="321">
        <f t="shared" si="9"/>
        <v>294829</v>
      </c>
    </row>
    <row r="638" spans="1:11" ht="15.95" customHeight="1" x14ac:dyDescent="0.2">
      <c r="A638" s="323" t="s">
        <v>1151</v>
      </c>
      <c r="B638" s="373" t="s">
        <v>1152</v>
      </c>
      <c r="C638" s="374"/>
      <c r="D638" s="374"/>
      <c r="E638" s="324">
        <v>440552.27</v>
      </c>
      <c r="F638" s="324">
        <v>65450.080000000002</v>
      </c>
      <c r="H638" s="324">
        <v>0</v>
      </c>
      <c r="J638" s="324">
        <v>506002.35</v>
      </c>
      <c r="K638" s="321">
        <f t="shared" si="9"/>
        <v>65450.079999999958</v>
      </c>
    </row>
    <row r="639" spans="1:11" ht="15.95" customHeight="1" x14ac:dyDescent="0.2">
      <c r="A639" s="323" t="s">
        <v>1153</v>
      </c>
      <c r="B639" s="373" t="s">
        <v>1154</v>
      </c>
      <c r="C639" s="374"/>
      <c r="D639" s="374"/>
      <c r="E639" s="324">
        <v>45010.68</v>
      </c>
      <c r="F639" s="324">
        <v>32842.730000000003</v>
      </c>
      <c r="H639" s="324">
        <v>0</v>
      </c>
      <c r="J639" s="324">
        <v>77853.41</v>
      </c>
      <c r="K639" s="321">
        <f t="shared" si="9"/>
        <v>32842.730000000003</v>
      </c>
    </row>
    <row r="640" spans="1:11" ht="15.95" customHeight="1" x14ac:dyDescent="0.2">
      <c r="A640" s="323" t="s">
        <v>1155</v>
      </c>
      <c r="B640" s="373" t="s">
        <v>1156</v>
      </c>
      <c r="C640" s="374"/>
      <c r="D640" s="374"/>
      <c r="E640" s="324">
        <v>425856.78</v>
      </c>
      <c r="F640" s="324">
        <v>17900.5</v>
      </c>
      <c r="H640" s="324">
        <v>0</v>
      </c>
      <c r="J640" s="324">
        <v>443757.28</v>
      </c>
      <c r="K640" s="321">
        <f t="shared" si="9"/>
        <v>17900.5</v>
      </c>
    </row>
    <row r="641" spans="1:11" ht="15.95" customHeight="1" x14ac:dyDescent="0.2">
      <c r="A641" s="323" t="s">
        <v>1157</v>
      </c>
      <c r="B641" s="373" t="s">
        <v>1134</v>
      </c>
      <c r="C641" s="374"/>
      <c r="D641" s="374"/>
      <c r="E641" s="324">
        <v>67255.91</v>
      </c>
      <c r="F641" s="324">
        <v>4044.33</v>
      </c>
      <c r="H641" s="324">
        <v>0</v>
      </c>
      <c r="J641" s="324">
        <v>71300.240000000005</v>
      </c>
      <c r="K641" s="321">
        <f t="shared" si="9"/>
        <v>4044.3300000000017</v>
      </c>
    </row>
    <row r="642" spans="1:11" ht="15.95" customHeight="1" x14ac:dyDescent="0.2">
      <c r="A642" s="323" t="s">
        <v>1158</v>
      </c>
      <c r="B642" s="373" t="s">
        <v>1136</v>
      </c>
      <c r="C642" s="374"/>
      <c r="D642" s="374"/>
      <c r="E642" s="324">
        <v>254935.89</v>
      </c>
      <c r="F642" s="324">
        <v>170463.55</v>
      </c>
      <c r="H642" s="324">
        <v>0</v>
      </c>
      <c r="J642" s="324">
        <v>425399.44</v>
      </c>
      <c r="K642" s="321">
        <f t="shared" si="9"/>
        <v>170463.55</v>
      </c>
    </row>
    <row r="643" spans="1:11" ht="15.95" customHeight="1" x14ac:dyDescent="0.2">
      <c r="A643" s="323" t="s">
        <v>1159</v>
      </c>
      <c r="B643" s="373" t="s">
        <v>1140</v>
      </c>
      <c r="C643" s="374"/>
      <c r="D643" s="374"/>
      <c r="E643" s="324">
        <v>0</v>
      </c>
      <c r="F643" s="324">
        <v>4127.8100000000004</v>
      </c>
      <c r="H643" s="324">
        <v>0</v>
      </c>
      <c r="J643" s="324">
        <v>4127.8100000000004</v>
      </c>
      <c r="K643" s="321">
        <f t="shared" ref="K643:K706" si="10">J643-E643</f>
        <v>4127.8100000000004</v>
      </c>
    </row>
    <row r="644" spans="1:11" ht="15.95" customHeight="1" x14ac:dyDescent="0.2">
      <c r="A644" s="323" t="s">
        <v>1623</v>
      </c>
      <c r="B644" s="373" t="s">
        <v>1547</v>
      </c>
      <c r="C644" s="374"/>
      <c r="D644" s="374"/>
      <c r="E644" s="324">
        <v>35691</v>
      </c>
      <c r="F644" s="324">
        <v>0</v>
      </c>
      <c r="H644" s="324">
        <v>0</v>
      </c>
      <c r="J644" s="324">
        <v>35691</v>
      </c>
      <c r="K644" s="321">
        <f t="shared" si="10"/>
        <v>0</v>
      </c>
    </row>
    <row r="645" spans="1:11" ht="15.95" customHeight="1" x14ac:dyDescent="0.2">
      <c r="A645" s="323">
        <v>4</v>
      </c>
      <c r="B645" s="373" t="s">
        <v>1160</v>
      </c>
      <c r="C645" s="374"/>
      <c r="D645" s="374"/>
      <c r="E645" s="324">
        <v>21108731.93</v>
      </c>
      <c r="F645" s="324">
        <v>13374104.310000001</v>
      </c>
      <c r="H645" s="324">
        <v>667835.74</v>
      </c>
      <c r="J645" s="324">
        <v>33815000.5</v>
      </c>
      <c r="K645" s="321">
        <f t="shared" si="10"/>
        <v>12706268.57</v>
      </c>
    </row>
    <row r="646" spans="1:11" ht="15.95" customHeight="1" x14ac:dyDescent="0.2">
      <c r="A646" s="323">
        <v>41</v>
      </c>
      <c r="B646" s="373" t="s">
        <v>1161</v>
      </c>
      <c r="C646" s="374"/>
      <c r="D646" s="374"/>
      <c r="E646" s="324">
        <v>21108731.93</v>
      </c>
      <c r="F646" s="324">
        <v>13374104.310000001</v>
      </c>
      <c r="H646" s="324">
        <v>667835.74</v>
      </c>
      <c r="J646" s="324">
        <v>33815000.5</v>
      </c>
      <c r="K646" s="321">
        <f t="shared" si="10"/>
        <v>12706268.57</v>
      </c>
    </row>
    <row r="647" spans="1:11" ht="15.95" customHeight="1" x14ac:dyDescent="0.2">
      <c r="A647" s="323">
        <v>411</v>
      </c>
      <c r="B647" s="373" t="s">
        <v>1161</v>
      </c>
      <c r="C647" s="374"/>
      <c r="D647" s="374"/>
      <c r="E647" s="324">
        <v>21108731.93</v>
      </c>
      <c r="F647" s="324">
        <v>13374104.310000001</v>
      </c>
      <c r="H647" s="324">
        <v>667835.74</v>
      </c>
      <c r="J647" s="324">
        <v>33815000.5</v>
      </c>
      <c r="K647" s="321">
        <f t="shared" si="10"/>
        <v>12706268.57</v>
      </c>
    </row>
    <row r="648" spans="1:11" ht="15.95" customHeight="1" x14ac:dyDescent="0.2">
      <c r="A648" s="323">
        <v>41101</v>
      </c>
      <c r="B648" s="373" t="s">
        <v>1161</v>
      </c>
      <c r="C648" s="374"/>
      <c r="D648" s="374"/>
      <c r="E648" s="324">
        <v>21108731.93</v>
      </c>
      <c r="F648" s="324">
        <v>13374104.310000001</v>
      </c>
      <c r="H648" s="324">
        <v>667835.74</v>
      </c>
      <c r="J648" s="324">
        <v>33815000.5</v>
      </c>
      <c r="K648" s="321">
        <f t="shared" si="10"/>
        <v>12706268.57</v>
      </c>
    </row>
    <row r="649" spans="1:11" ht="27.95" customHeight="1" x14ac:dyDescent="0.2">
      <c r="A649" s="323">
        <v>4110101</v>
      </c>
      <c r="B649" s="373" t="s">
        <v>1162</v>
      </c>
      <c r="C649" s="374"/>
      <c r="D649" s="374"/>
      <c r="E649" s="324">
        <v>6193115.21</v>
      </c>
      <c r="F649" s="324">
        <v>3638728.62</v>
      </c>
      <c r="H649" s="324">
        <v>326035.67</v>
      </c>
      <c r="J649" s="324">
        <v>9505808.1600000001</v>
      </c>
      <c r="K649" s="321">
        <f t="shared" si="10"/>
        <v>3312692.95</v>
      </c>
    </row>
    <row r="650" spans="1:11" ht="15.95" customHeight="1" x14ac:dyDescent="0.2">
      <c r="A650" s="323" t="s">
        <v>1163</v>
      </c>
      <c r="B650" s="373" t="s">
        <v>1164</v>
      </c>
      <c r="C650" s="374"/>
      <c r="D650" s="374"/>
      <c r="E650" s="324">
        <v>1562352.39</v>
      </c>
      <c r="F650" s="324">
        <v>741517.8</v>
      </c>
      <c r="H650" s="324">
        <v>30750.01</v>
      </c>
      <c r="J650" s="324">
        <v>2273120.1800000002</v>
      </c>
      <c r="K650" s="321">
        <f t="shared" si="10"/>
        <v>710767.79000000027</v>
      </c>
    </row>
    <row r="651" spans="1:11" ht="15.95" customHeight="1" x14ac:dyDescent="0.2">
      <c r="A651" s="323" t="s">
        <v>1165</v>
      </c>
      <c r="B651" s="373" t="s">
        <v>1166</v>
      </c>
      <c r="C651" s="374"/>
      <c r="D651" s="374"/>
      <c r="E651" s="324">
        <v>715857.47</v>
      </c>
      <c r="F651" s="324">
        <v>330356.58</v>
      </c>
      <c r="H651" s="324">
        <v>205.5</v>
      </c>
      <c r="J651" s="324">
        <v>1046008.55</v>
      </c>
      <c r="K651" s="321">
        <f t="shared" si="10"/>
        <v>330151.08000000007</v>
      </c>
    </row>
    <row r="652" spans="1:11" ht="15.95" customHeight="1" x14ac:dyDescent="0.2">
      <c r="A652" s="323" t="s">
        <v>1167</v>
      </c>
      <c r="B652" s="373" t="s">
        <v>1168</v>
      </c>
      <c r="C652" s="374"/>
      <c r="D652" s="374"/>
      <c r="E652" s="324">
        <v>304514.15999999997</v>
      </c>
      <c r="F652" s="324">
        <v>130827.26</v>
      </c>
      <c r="H652" s="324">
        <v>0</v>
      </c>
      <c r="J652" s="324">
        <v>435341.42</v>
      </c>
      <c r="K652" s="321">
        <f t="shared" si="10"/>
        <v>130827.26000000001</v>
      </c>
    </row>
    <row r="653" spans="1:11" ht="15.95" customHeight="1" x14ac:dyDescent="0.2">
      <c r="A653" s="323" t="s">
        <v>1169</v>
      </c>
      <c r="B653" s="373" t="s">
        <v>1170</v>
      </c>
      <c r="C653" s="374"/>
      <c r="D653" s="374"/>
      <c r="E653" s="324">
        <v>191540.24</v>
      </c>
      <c r="F653" s="324">
        <v>87635.88</v>
      </c>
      <c r="H653" s="324">
        <v>0</v>
      </c>
      <c r="J653" s="324">
        <v>279176.12</v>
      </c>
      <c r="K653" s="321">
        <f t="shared" si="10"/>
        <v>87635.88</v>
      </c>
    </row>
    <row r="654" spans="1:11" ht="15.95" customHeight="1" x14ac:dyDescent="0.2">
      <c r="A654" s="323" t="s">
        <v>1171</v>
      </c>
      <c r="B654" s="373" t="s">
        <v>1172</v>
      </c>
      <c r="C654" s="374"/>
      <c r="D654" s="374"/>
      <c r="E654" s="324">
        <v>261658.47</v>
      </c>
      <c r="F654" s="324">
        <v>210943.38</v>
      </c>
      <c r="H654" s="324">
        <v>136724.79999999999</v>
      </c>
      <c r="J654" s="324">
        <v>335877.05</v>
      </c>
      <c r="K654" s="321">
        <f t="shared" si="10"/>
        <v>74218.579999999987</v>
      </c>
    </row>
    <row r="655" spans="1:11" ht="15.95" customHeight="1" x14ac:dyDescent="0.2">
      <c r="A655" s="323" t="s">
        <v>1173</v>
      </c>
      <c r="B655" s="373" t="s">
        <v>1174</v>
      </c>
      <c r="C655" s="374"/>
      <c r="D655" s="374"/>
      <c r="E655" s="324">
        <v>276473.25</v>
      </c>
      <c r="F655" s="324">
        <v>134896.66</v>
      </c>
      <c r="H655" s="324">
        <v>19753.330000000002</v>
      </c>
      <c r="J655" s="324">
        <v>391616.58</v>
      </c>
      <c r="K655" s="321">
        <f t="shared" si="10"/>
        <v>115143.33000000002</v>
      </c>
    </row>
    <row r="656" spans="1:11" ht="15.95" customHeight="1" x14ac:dyDescent="0.2">
      <c r="A656" s="323" t="s">
        <v>1175</v>
      </c>
      <c r="B656" s="373" t="s">
        <v>1176</v>
      </c>
      <c r="C656" s="374"/>
      <c r="D656" s="374"/>
      <c r="E656" s="324">
        <v>1150196.67</v>
      </c>
      <c r="F656" s="324">
        <v>560060.57999999996</v>
      </c>
      <c r="H656" s="324">
        <v>28107.47</v>
      </c>
      <c r="J656" s="324">
        <v>1682149.78</v>
      </c>
      <c r="K656" s="321">
        <f t="shared" si="10"/>
        <v>531953.1100000001</v>
      </c>
    </row>
    <row r="657" spans="1:11" ht="15.95" customHeight="1" x14ac:dyDescent="0.2">
      <c r="A657" s="323" t="s">
        <v>1177</v>
      </c>
      <c r="B657" s="373" t="s">
        <v>1178</v>
      </c>
      <c r="C657" s="374"/>
      <c r="D657" s="374"/>
      <c r="E657" s="324">
        <v>316251.59000000003</v>
      </c>
      <c r="F657" s="324">
        <v>150586.48000000001</v>
      </c>
      <c r="H657" s="324">
        <v>8421.81</v>
      </c>
      <c r="J657" s="324">
        <v>458416.26</v>
      </c>
      <c r="K657" s="321">
        <f t="shared" si="10"/>
        <v>142164.66999999998</v>
      </c>
    </row>
    <row r="658" spans="1:11" ht="15.95" customHeight="1" x14ac:dyDescent="0.2">
      <c r="A658" s="323" t="s">
        <v>1179</v>
      </c>
      <c r="B658" s="373" t="s">
        <v>1180</v>
      </c>
      <c r="C658" s="374"/>
      <c r="D658" s="374"/>
      <c r="E658" s="324">
        <v>247494.5</v>
      </c>
      <c r="F658" s="324">
        <v>150087.29999999999</v>
      </c>
      <c r="H658" s="324">
        <v>8782.81</v>
      </c>
      <c r="J658" s="324">
        <v>388798.99</v>
      </c>
      <c r="K658" s="321">
        <f t="shared" si="10"/>
        <v>141304.49</v>
      </c>
    </row>
    <row r="659" spans="1:11" ht="15.95" customHeight="1" x14ac:dyDescent="0.2">
      <c r="A659" s="323" t="s">
        <v>1181</v>
      </c>
      <c r="B659" s="373" t="s">
        <v>1182</v>
      </c>
      <c r="C659" s="374"/>
      <c r="D659" s="374"/>
      <c r="E659" s="324">
        <v>201807.81</v>
      </c>
      <c r="F659" s="324">
        <v>247421.46</v>
      </c>
      <c r="H659" s="324">
        <v>69260.38</v>
      </c>
      <c r="J659" s="324">
        <v>379968.89</v>
      </c>
      <c r="K659" s="321">
        <f t="shared" si="10"/>
        <v>178161.08000000002</v>
      </c>
    </row>
    <row r="660" spans="1:11" ht="15.95" customHeight="1" x14ac:dyDescent="0.2">
      <c r="A660" s="323" t="s">
        <v>1183</v>
      </c>
      <c r="B660" s="373" t="s">
        <v>1184</v>
      </c>
      <c r="C660" s="374"/>
      <c r="D660" s="374"/>
      <c r="E660" s="324">
        <v>7504.56</v>
      </c>
      <c r="F660" s="324">
        <v>7642.8</v>
      </c>
      <c r="H660" s="324">
        <v>2172.54</v>
      </c>
      <c r="J660" s="324">
        <v>12974.82</v>
      </c>
      <c r="K660" s="321">
        <f t="shared" si="10"/>
        <v>5470.2599999999993</v>
      </c>
    </row>
    <row r="661" spans="1:11" ht="15.95" customHeight="1" x14ac:dyDescent="0.2">
      <c r="A661" s="323" t="s">
        <v>1185</v>
      </c>
      <c r="B661" s="373" t="s">
        <v>1186</v>
      </c>
      <c r="C661" s="374"/>
      <c r="D661" s="374"/>
      <c r="E661" s="324">
        <v>338944.82</v>
      </c>
      <c r="F661" s="324">
        <v>171949.02</v>
      </c>
      <c r="H661" s="324">
        <v>9888.02</v>
      </c>
      <c r="J661" s="324">
        <v>501005.82</v>
      </c>
      <c r="K661" s="321">
        <f t="shared" si="10"/>
        <v>162061</v>
      </c>
    </row>
    <row r="662" spans="1:11" ht="15.95" customHeight="1" x14ac:dyDescent="0.2">
      <c r="A662" s="323" t="s">
        <v>1860</v>
      </c>
      <c r="B662" s="373" t="s">
        <v>1257</v>
      </c>
      <c r="C662" s="374"/>
      <c r="D662" s="374"/>
      <c r="E662" s="324">
        <v>0</v>
      </c>
      <c r="F662" s="324">
        <v>69425.88</v>
      </c>
      <c r="H662" s="324">
        <v>0</v>
      </c>
      <c r="J662" s="324">
        <v>69425.88</v>
      </c>
      <c r="K662" s="321">
        <f t="shared" si="10"/>
        <v>69425.88</v>
      </c>
    </row>
    <row r="663" spans="1:11" ht="15.95" customHeight="1" x14ac:dyDescent="0.2">
      <c r="A663" s="323" t="s">
        <v>1187</v>
      </c>
      <c r="B663" s="373" t="s">
        <v>1188</v>
      </c>
      <c r="C663" s="374"/>
      <c r="D663" s="374"/>
      <c r="E663" s="324">
        <v>149828.48000000001</v>
      </c>
      <c r="F663" s="324">
        <v>40542.35</v>
      </c>
      <c r="H663" s="324">
        <v>0</v>
      </c>
      <c r="J663" s="324">
        <v>190370.83</v>
      </c>
      <c r="K663" s="321">
        <f t="shared" si="10"/>
        <v>40542.349999999977</v>
      </c>
    </row>
    <row r="664" spans="1:11" ht="15.95" customHeight="1" x14ac:dyDescent="0.2">
      <c r="A664" s="323" t="s">
        <v>1189</v>
      </c>
      <c r="B664" s="373" t="s">
        <v>1190</v>
      </c>
      <c r="C664" s="374"/>
      <c r="D664" s="374"/>
      <c r="E664" s="324">
        <v>5205.04</v>
      </c>
      <c r="F664" s="324">
        <v>3903.78</v>
      </c>
      <c r="H664" s="324">
        <v>0</v>
      </c>
      <c r="J664" s="324">
        <v>9108.82</v>
      </c>
      <c r="K664" s="321">
        <f t="shared" si="10"/>
        <v>3903.7799999999997</v>
      </c>
    </row>
    <row r="665" spans="1:11" ht="15.95" customHeight="1" x14ac:dyDescent="0.2">
      <c r="A665" s="323" t="s">
        <v>1191</v>
      </c>
      <c r="B665" s="373" t="s">
        <v>1192</v>
      </c>
      <c r="C665" s="374"/>
      <c r="D665" s="374"/>
      <c r="E665" s="324">
        <v>6570.62</v>
      </c>
      <c r="F665" s="324">
        <v>2832.1</v>
      </c>
      <c r="H665" s="324">
        <v>0</v>
      </c>
      <c r="J665" s="324">
        <v>9402.7199999999993</v>
      </c>
      <c r="K665" s="321">
        <f t="shared" si="10"/>
        <v>2832.0999999999995</v>
      </c>
    </row>
    <row r="666" spans="1:11" ht="15.95" customHeight="1" x14ac:dyDescent="0.2">
      <c r="A666" s="323" t="s">
        <v>1193</v>
      </c>
      <c r="B666" s="373" t="s">
        <v>1194</v>
      </c>
      <c r="C666" s="374"/>
      <c r="D666" s="374"/>
      <c r="E666" s="324">
        <v>66460.490000000005</v>
      </c>
      <c r="F666" s="324">
        <v>26894.51</v>
      </c>
      <c r="H666" s="324">
        <v>0</v>
      </c>
      <c r="J666" s="324">
        <v>93355</v>
      </c>
      <c r="K666" s="321">
        <f t="shared" si="10"/>
        <v>26894.509999999995</v>
      </c>
    </row>
    <row r="667" spans="1:11" ht="15.95" customHeight="1" x14ac:dyDescent="0.2">
      <c r="A667" s="323" t="s">
        <v>1195</v>
      </c>
      <c r="B667" s="373" t="s">
        <v>1196</v>
      </c>
      <c r="C667" s="374"/>
      <c r="D667" s="374"/>
      <c r="E667" s="324">
        <v>6355.09</v>
      </c>
      <c r="F667" s="324">
        <v>7133.15</v>
      </c>
      <c r="H667" s="324">
        <v>1668.66</v>
      </c>
      <c r="J667" s="324">
        <v>11819.58</v>
      </c>
      <c r="K667" s="321">
        <f t="shared" si="10"/>
        <v>5464.49</v>
      </c>
    </row>
    <row r="668" spans="1:11" ht="15.95" customHeight="1" x14ac:dyDescent="0.2">
      <c r="A668" s="323" t="s">
        <v>1197</v>
      </c>
      <c r="B668" s="373" t="s">
        <v>1198</v>
      </c>
      <c r="C668" s="374"/>
      <c r="D668" s="374"/>
      <c r="E668" s="324">
        <v>246199.36</v>
      </c>
      <c r="F668" s="324">
        <v>250897.26</v>
      </c>
      <c r="H668" s="324">
        <v>10300.34</v>
      </c>
      <c r="J668" s="324">
        <v>486796.28</v>
      </c>
      <c r="K668" s="321">
        <f t="shared" si="10"/>
        <v>240596.92000000004</v>
      </c>
    </row>
    <row r="669" spans="1:11" ht="15.95" customHeight="1" x14ac:dyDescent="0.2">
      <c r="A669" s="323" t="s">
        <v>1199</v>
      </c>
      <c r="B669" s="373" t="s">
        <v>1200</v>
      </c>
      <c r="C669" s="374"/>
      <c r="D669" s="374"/>
      <c r="E669" s="324">
        <v>137900.20000000001</v>
      </c>
      <c r="F669" s="324">
        <v>65801.119999999995</v>
      </c>
      <c r="H669" s="324">
        <v>0</v>
      </c>
      <c r="J669" s="324">
        <v>203701.32</v>
      </c>
      <c r="K669" s="321">
        <f t="shared" si="10"/>
        <v>65801.119999999995</v>
      </c>
    </row>
    <row r="670" spans="1:11" ht="15.95" customHeight="1" x14ac:dyDescent="0.2">
      <c r="A670" s="323" t="s">
        <v>1887</v>
      </c>
      <c r="B670" s="373" t="s">
        <v>1559</v>
      </c>
      <c r="C670" s="374"/>
      <c r="D670" s="374"/>
      <c r="E670" s="324">
        <v>0</v>
      </c>
      <c r="F670" s="324">
        <v>15325.71</v>
      </c>
      <c r="H670" s="324">
        <v>0</v>
      </c>
      <c r="J670" s="324">
        <v>15325.71</v>
      </c>
      <c r="K670" s="321">
        <f t="shared" si="10"/>
        <v>15325.71</v>
      </c>
    </row>
    <row r="671" spans="1:11" ht="15.95" customHeight="1" x14ac:dyDescent="0.2">
      <c r="A671" s="323" t="s">
        <v>1888</v>
      </c>
      <c r="B671" s="373" t="s">
        <v>1283</v>
      </c>
      <c r="C671" s="374"/>
      <c r="D671" s="374"/>
      <c r="E671" s="324">
        <v>0</v>
      </c>
      <c r="F671" s="324">
        <v>232047.56</v>
      </c>
      <c r="H671" s="324">
        <v>0</v>
      </c>
      <c r="J671" s="324">
        <v>232047.56</v>
      </c>
      <c r="K671" s="321">
        <f t="shared" si="10"/>
        <v>232047.56</v>
      </c>
    </row>
    <row r="672" spans="1:11" ht="15.95" customHeight="1" x14ac:dyDescent="0.2">
      <c r="A672" s="323">
        <v>4110102</v>
      </c>
      <c r="B672" s="373" t="s">
        <v>1548</v>
      </c>
      <c r="C672" s="374"/>
      <c r="D672" s="374"/>
      <c r="E672" s="324">
        <v>12208</v>
      </c>
      <c r="F672" s="324">
        <v>80</v>
      </c>
      <c r="H672" s="324">
        <v>0</v>
      </c>
      <c r="J672" s="324">
        <v>12288</v>
      </c>
      <c r="K672" s="321">
        <f t="shared" si="10"/>
        <v>80</v>
      </c>
    </row>
    <row r="673" spans="1:11" ht="15.95" customHeight="1" x14ac:dyDescent="0.2">
      <c r="A673" s="323" t="s">
        <v>1624</v>
      </c>
      <c r="B673" s="373" t="s">
        <v>1203</v>
      </c>
      <c r="C673" s="374"/>
      <c r="D673" s="374"/>
      <c r="E673" s="324">
        <v>12118</v>
      </c>
      <c r="F673" s="324">
        <v>0</v>
      </c>
      <c r="H673" s="324">
        <v>0</v>
      </c>
      <c r="J673" s="324">
        <v>12118</v>
      </c>
      <c r="K673" s="321">
        <f t="shared" si="10"/>
        <v>0</v>
      </c>
    </row>
    <row r="674" spans="1:11" ht="15.95" customHeight="1" x14ac:dyDescent="0.2">
      <c r="A674" s="323" t="s">
        <v>1549</v>
      </c>
      <c r="B674" s="373" t="s">
        <v>1300</v>
      </c>
      <c r="C674" s="374"/>
      <c r="D674" s="374"/>
      <c r="E674" s="324">
        <v>90</v>
      </c>
      <c r="F674" s="324">
        <v>80</v>
      </c>
      <c r="H674" s="324">
        <v>0</v>
      </c>
      <c r="J674" s="324">
        <v>170</v>
      </c>
      <c r="K674" s="321">
        <f t="shared" si="10"/>
        <v>80</v>
      </c>
    </row>
    <row r="675" spans="1:11" ht="15.95" customHeight="1" x14ac:dyDescent="0.2">
      <c r="A675" s="323">
        <v>4110103</v>
      </c>
      <c r="B675" s="373" t="s">
        <v>1201</v>
      </c>
      <c r="C675" s="374"/>
      <c r="D675" s="374"/>
      <c r="E675" s="324">
        <v>4275812.78</v>
      </c>
      <c r="F675" s="324">
        <v>2188822.7599999998</v>
      </c>
      <c r="H675" s="324">
        <v>5319.72</v>
      </c>
      <c r="J675" s="324">
        <v>6459315.8200000003</v>
      </c>
      <c r="K675" s="321">
        <f t="shared" si="10"/>
        <v>2183503.04</v>
      </c>
    </row>
    <row r="676" spans="1:11" ht="15.95" customHeight="1" x14ac:dyDescent="0.2">
      <c r="A676" s="323" t="s">
        <v>1202</v>
      </c>
      <c r="B676" s="373" t="s">
        <v>1203</v>
      </c>
      <c r="C676" s="374"/>
      <c r="D676" s="374"/>
      <c r="E676" s="324">
        <v>8745</v>
      </c>
      <c r="F676" s="324">
        <v>4950</v>
      </c>
      <c r="H676" s="324">
        <v>0</v>
      </c>
      <c r="J676" s="324">
        <v>13695</v>
      </c>
      <c r="K676" s="321">
        <f t="shared" si="10"/>
        <v>4950</v>
      </c>
    </row>
    <row r="677" spans="1:11" ht="15.95" customHeight="1" x14ac:dyDescent="0.2">
      <c r="A677" s="323" t="s">
        <v>1204</v>
      </c>
      <c r="B677" s="373" t="s">
        <v>1205</v>
      </c>
      <c r="C677" s="374"/>
      <c r="D677" s="374"/>
      <c r="E677" s="324">
        <v>133159.82</v>
      </c>
      <c r="F677" s="324">
        <v>21009.439999999999</v>
      </c>
      <c r="H677" s="324">
        <v>0</v>
      </c>
      <c r="J677" s="324">
        <v>154169.26</v>
      </c>
      <c r="K677" s="321">
        <f t="shared" si="10"/>
        <v>21009.440000000002</v>
      </c>
    </row>
    <row r="678" spans="1:11" ht="15.95" customHeight="1" x14ac:dyDescent="0.2">
      <c r="A678" s="323" t="s">
        <v>1206</v>
      </c>
      <c r="B678" s="373" t="s">
        <v>1207</v>
      </c>
      <c r="C678" s="374"/>
      <c r="D678" s="374"/>
      <c r="E678" s="324">
        <v>650164.67000000004</v>
      </c>
      <c r="F678" s="324">
        <v>246122.52</v>
      </c>
      <c r="H678" s="324">
        <v>0</v>
      </c>
      <c r="J678" s="324">
        <v>896287.19</v>
      </c>
      <c r="K678" s="321">
        <f t="shared" si="10"/>
        <v>246122.5199999999</v>
      </c>
    </row>
    <row r="679" spans="1:11" ht="15.95" customHeight="1" x14ac:dyDescent="0.2">
      <c r="A679" s="323" t="s">
        <v>1889</v>
      </c>
      <c r="B679" s="373" t="s">
        <v>1890</v>
      </c>
      <c r="C679" s="374"/>
      <c r="D679" s="374"/>
      <c r="E679" s="324">
        <v>0</v>
      </c>
      <c r="F679" s="324">
        <v>14501.44</v>
      </c>
      <c r="H679" s="324">
        <v>0</v>
      </c>
      <c r="J679" s="324">
        <v>14501.44</v>
      </c>
      <c r="K679" s="321">
        <f t="shared" si="10"/>
        <v>14501.44</v>
      </c>
    </row>
    <row r="680" spans="1:11" ht="15.95" customHeight="1" x14ac:dyDescent="0.2">
      <c r="A680" s="323" t="s">
        <v>1550</v>
      </c>
      <c r="B680" s="373" t="s">
        <v>1551</v>
      </c>
      <c r="C680" s="374"/>
      <c r="D680" s="374"/>
      <c r="E680" s="324">
        <v>441.79</v>
      </c>
      <c r="F680" s="324">
        <v>0</v>
      </c>
      <c r="H680" s="324">
        <v>0</v>
      </c>
      <c r="J680" s="324">
        <v>441.79</v>
      </c>
      <c r="K680" s="321">
        <f t="shared" si="10"/>
        <v>0</v>
      </c>
    </row>
    <row r="681" spans="1:11" ht="15.95" customHeight="1" x14ac:dyDescent="0.2">
      <c r="A681" s="323" t="s">
        <v>1208</v>
      </c>
      <c r="B681" s="373" t="s">
        <v>1209</v>
      </c>
      <c r="C681" s="374"/>
      <c r="D681" s="374"/>
      <c r="E681" s="324">
        <v>1326486.6200000001</v>
      </c>
      <c r="F681" s="324">
        <v>644108.65</v>
      </c>
      <c r="H681" s="324">
        <v>0</v>
      </c>
      <c r="J681" s="324">
        <v>1970595.27</v>
      </c>
      <c r="K681" s="321">
        <f t="shared" si="10"/>
        <v>644108.64999999991</v>
      </c>
    </row>
    <row r="682" spans="1:11" ht="15.95" customHeight="1" x14ac:dyDescent="0.2">
      <c r="A682" s="323" t="s">
        <v>1553</v>
      </c>
      <c r="B682" s="373" t="s">
        <v>1554</v>
      </c>
      <c r="C682" s="374"/>
      <c r="D682" s="374"/>
      <c r="E682" s="324">
        <v>89400</v>
      </c>
      <c r="F682" s="324">
        <v>14870</v>
      </c>
      <c r="H682" s="324">
        <v>0</v>
      </c>
      <c r="J682" s="324">
        <v>104270</v>
      </c>
      <c r="K682" s="321">
        <f t="shared" si="10"/>
        <v>14870</v>
      </c>
    </row>
    <row r="683" spans="1:11" ht="15.95" customHeight="1" x14ac:dyDescent="0.2">
      <c r="A683" s="323" t="s">
        <v>1214</v>
      </c>
      <c r="B683" s="373" t="s">
        <v>1215</v>
      </c>
      <c r="C683" s="374"/>
      <c r="D683" s="374"/>
      <c r="E683" s="324">
        <v>28624.9</v>
      </c>
      <c r="F683" s="324">
        <v>11147.56</v>
      </c>
      <c r="H683" s="324">
        <v>1987.08</v>
      </c>
      <c r="J683" s="324">
        <v>37785.379999999997</v>
      </c>
      <c r="K683" s="321">
        <f t="shared" si="10"/>
        <v>9160.4799999999959</v>
      </c>
    </row>
    <row r="684" spans="1:11" ht="15.95" customHeight="1" x14ac:dyDescent="0.2">
      <c r="A684" s="323" t="s">
        <v>1216</v>
      </c>
      <c r="B684" s="373" t="s">
        <v>1217</v>
      </c>
      <c r="C684" s="374"/>
      <c r="D684" s="374"/>
      <c r="E684" s="324">
        <v>448500</v>
      </c>
      <c r="F684" s="324">
        <v>495000</v>
      </c>
      <c r="H684" s="324">
        <v>0</v>
      </c>
      <c r="J684" s="324">
        <v>943500</v>
      </c>
      <c r="K684" s="321">
        <f t="shared" si="10"/>
        <v>495000</v>
      </c>
    </row>
    <row r="685" spans="1:11" ht="15.95" customHeight="1" x14ac:dyDescent="0.2">
      <c r="A685" s="323" t="s">
        <v>1218</v>
      </c>
      <c r="B685" s="373" t="s">
        <v>1219</v>
      </c>
      <c r="C685" s="374"/>
      <c r="D685" s="374"/>
      <c r="E685" s="324">
        <v>1214941.98</v>
      </c>
      <c r="F685" s="324">
        <v>549489.15</v>
      </c>
      <c r="H685" s="324">
        <v>0</v>
      </c>
      <c r="J685" s="324">
        <v>1764431.13</v>
      </c>
      <c r="K685" s="321">
        <f t="shared" si="10"/>
        <v>549489.14999999991</v>
      </c>
    </row>
    <row r="686" spans="1:11" ht="15.95" customHeight="1" x14ac:dyDescent="0.2">
      <c r="A686" s="323" t="s">
        <v>1220</v>
      </c>
      <c r="B686" s="373" t="s">
        <v>1221</v>
      </c>
      <c r="C686" s="374"/>
      <c r="D686" s="374"/>
      <c r="E686" s="324">
        <v>375348</v>
      </c>
      <c r="F686" s="324">
        <v>187624</v>
      </c>
      <c r="H686" s="324">
        <v>3332.64</v>
      </c>
      <c r="J686" s="324">
        <v>559639.36</v>
      </c>
      <c r="K686" s="321">
        <f t="shared" si="10"/>
        <v>184291.36</v>
      </c>
    </row>
    <row r="687" spans="1:11" ht="15.95" customHeight="1" x14ac:dyDescent="0.2">
      <c r="A687" s="323">
        <v>4110104</v>
      </c>
      <c r="B687" s="373" t="s">
        <v>1222</v>
      </c>
      <c r="C687" s="374"/>
      <c r="D687" s="374"/>
      <c r="E687" s="324">
        <v>17139.21</v>
      </c>
      <c r="F687" s="324">
        <v>1989.94</v>
      </c>
      <c r="H687" s="324">
        <v>0</v>
      </c>
      <c r="J687" s="324">
        <v>19129.150000000001</v>
      </c>
      <c r="K687" s="321">
        <f t="shared" si="10"/>
        <v>1989.9400000000023</v>
      </c>
    </row>
    <row r="688" spans="1:11" ht="15.95" customHeight="1" x14ac:dyDescent="0.2">
      <c r="A688" s="323" t="s">
        <v>1555</v>
      </c>
      <c r="B688" s="373" t="s">
        <v>188</v>
      </c>
      <c r="C688" s="374"/>
      <c r="D688" s="374"/>
      <c r="E688" s="324">
        <v>636.54</v>
      </c>
      <c r="F688" s="324">
        <v>437.69</v>
      </c>
      <c r="H688" s="324">
        <v>0</v>
      </c>
      <c r="J688" s="324">
        <v>1074.23</v>
      </c>
      <c r="K688" s="321">
        <f t="shared" si="10"/>
        <v>437.69000000000005</v>
      </c>
    </row>
    <row r="689" spans="1:11" ht="15.95" customHeight="1" x14ac:dyDescent="0.2">
      <c r="A689" s="323" t="s">
        <v>1225</v>
      </c>
      <c r="B689" s="373" t="s">
        <v>182</v>
      </c>
      <c r="C689" s="374"/>
      <c r="D689" s="374"/>
      <c r="E689" s="324">
        <v>2746.15</v>
      </c>
      <c r="F689" s="324">
        <v>776.33</v>
      </c>
      <c r="H689" s="324">
        <v>0</v>
      </c>
      <c r="J689" s="324">
        <v>3522.48</v>
      </c>
      <c r="K689" s="321">
        <f t="shared" si="10"/>
        <v>776.32999999999993</v>
      </c>
    </row>
    <row r="690" spans="1:11" ht="15.95" customHeight="1" x14ac:dyDescent="0.2">
      <c r="A690" s="323" t="s">
        <v>1228</v>
      </c>
      <c r="B690" s="373" t="s">
        <v>194</v>
      </c>
      <c r="C690" s="374"/>
      <c r="D690" s="374"/>
      <c r="E690" s="324">
        <v>9903.84</v>
      </c>
      <c r="F690" s="324">
        <v>171.72</v>
      </c>
      <c r="H690" s="324">
        <v>0</v>
      </c>
      <c r="J690" s="324">
        <v>10075.56</v>
      </c>
      <c r="K690" s="321">
        <f t="shared" si="10"/>
        <v>171.71999999999935</v>
      </c>
    </row>
    <row r="691" spans="1:11" ht="15.95" customHeight="1" x14ac:dyDescent="0.2">
      <c r="A691" s="323" t="s">
        <v>1229</v>
      </c>
      <c r="B691" s="373" t="s">
        <v>1230</v>
      </c>
      <c r="C691" s="374"/>
      <c r="D691" s="374"/>
      <c r="E691" s="324">
        <v>582</v>
      </c>
      <c r="F691" s="324">
        <v>347</v>
      </c>
      <c r="H691" s="324">
        <v>0</v>
      </c>
      <c r="J691" s="324">
        <v>929</v>
      </c>
      <c r="K691" s="321">
        <f t="shared" si="10"/>
        <v>347</v>
      </c>
    </row>
    <row r="692" spans="1:11" ht="15.95" customHeight="1" x14ac:dyDescent="0.2">
      <c r="A692" s="323" t="s">
        <v>1233</v>
      </c>
      <c r="B692" s="373" t="s">
        <v>1234</v>
      </c>
      <c r="C692" s="374"/>
      <c r="D692" s="374"/>
      <c r="E692" s="324">
        <v>2540.69</v>
      </c>
      <c r="F692" s="324">
        <v>257.2</v>
      </c>
      <c r="H692" s="324">
        <v>0</v>
      </c>
      <c r="J692" s="324">
        <v>2797.89</v>
      </c>
      <c r="K692" s="321">
        <f t="shared" si="10"/>
        <v>257.19999999999982</v>
      </c>
    </row>
    <row r="693" spans="1:11" ht="15.95" customHeight="1" x14ac:dyDescent="0.2">
      <c r="A693" s="323" t="s">
        <v>1235</v>
      </c>
      <c r="B693" s="373" t="s">
        <v>1236</v>
      </c>
      <c r="C693" s="374"/>
      <c r="D693" s="374"/>
      <c r="E693" s="324">
        <v>729.99</v>
      </c>
      <c r="F693" s="324">
        <v>0</v>
      </c>
      <c r="H693" s="324">
        <v>0</v>
      </c>
      <c r="J693" s="324">
        <v>729.99</v>
      </c>
      <c r="K693" s="321">
        <f t="shared" si="10"/>
        <v>0</v>
      </c>
    </row>
    <row r="694" spans="1:11" ht="15.95" customHeight="1" x14ac:dyDescent="0.2">
      <c r="A694" s="323">
        <v>4110105</v>
      </c>
      <c r="B694" s="373" t="s">
        <v>1237</v>
      </c>
      <c r="C694" s="374"/>
      <c r="D694" s="374"/>
      <c r="E694" s="324">
        <v>10610456.73</v>
      </c>
      <c r="F694" s="324">
        <v>7544482.9900000002</v>
      </c>
      <c r="H694" s="324">
        <v>336480.35</v>
      </c>
      <c r="J694" s="324">
        <v>17818459.370000001</v>
      </c>
      <c r="K694" s="321">
        <f t="shared" si="10"/>
        <v>7208002.6400000006</v>
      </c>
    </row>
    <row r="695" spans="1:11" ht="15.95" customHeight="1" x14ac:dyDescent="0.2">
      <c r="A695" s="323" t="s">
        <v>1238</v>
      </c>
      <c r="B695" s="373" t="s">
        <v>1239</v>
      </c>
      <c r="C695" s="374"/>
      <c r="D695" s="374"/>
      <c r="E695" s="324">
        <v>184751.07</v>
      </c>
      <c r="F695" s="324">
        <v>177147.28</v>
      </c>
      <c r="H695" s="324">
        <v>0</v>
      </c>
      <c r="J695" s="324">
        <v>361898.35</v>
      </c>
      <c r="K695" s="321">
        <f t="shared" si="10"/>
        <v>177147.27999999997</v>
      </c>
    </row>
    <row r="696" spans="1:11" ht="15.95" customHeight="1" x14ac:dyDescent="0.2">
      <c r="A696" s="323" t="s">
        <v>1240</v>
      </c>
      <c r="B696" s="373" t="s">
        <v>1241</v>
      </c>
      <c r="C696" s="374"/>
      <c r="D696" s="374"/>
      <c r="E696" s="324">
        <v>1930562.75</v>
      </c>
      <c r="F696" s="324">
        <v>1041759.36</v>
      </c>
      <c r="H696" s="324">
        <v>113584.3</v>
      </c>
      <c r="J696" s="324">
        <v>2858737.81</v>
      </c>
      <c r="K696" s="321">
        <f t="shared" si="10"/>
        <v>928175.06</v>
      </c>
    </row>
    <row r="697" spans="1:11" ht="15.95" customHeight="1" x14ac:dyDescent="0.2">
      <c r="A697" s="323" t="s">
        <v>1242</v>
      </c>
      <c r="B697" s="373" t="s">
        <v>1243</v>
      </c>
      <c r="C697" s="374"/>
      <c r="D697" s="374"/>
      <c r="E697" s="324">
        <v>126000</v>
      </c>
      <c r="F697" s="324">
        <v>540000</v>
      </c>
      <c r="H697" s="324">
        <v>0</v>
      </c>
      <c r="J697" s="324">
        <v>666000</v>
      </c>
      <c r="K697" s="321">
        <f t="shared" si="10"/>
        <v>540000</v>
      </c>
    </row>
    <row r="698" spans="1:11" ht="15.95" customHeight="1" x14ac:dyDescent="0.2">
      <c r="A698" s="323" t="s">
        <v>1244</v>
      </c>
      <c r="B698" s="373" t="s">
        <v>1245</v>
      </c>
      <c r="C698" s="374"/>
      <c r="D698" s="374"/>
      <c r="E698" s="324">
        <v>57000</v>
      </c>
      <c r="F698" s="324">
        <v>28500</v>
      </c>
      <c r="H698" s="324">
        <v>0</v>
      </c>
      <c r="J698" s="324">
        <v>85500</v>
      </c>
      <c r="K698" s="321">
        <f t="shared" si="10"/>
        <v>28500</v>
      </c>
    </row>
    <row r="699" spans="1:11" ht="15.95" customHeight="1" x14ac:dyDescent="0.2">
      <c r="A699" s="323" t="s">
        <v>1556</v>
      </c>
      <c r="B699" s="373" t="s">
        <v>1557</v>
      </c>
      <c r="C699" s="374"/>
      <c r="D699" s="374"/>
      <c r="E699" s="324">
        <v>2741051.98</v>
      </c>
      <c r="F699" s="324">
        <v>2783577.44</v>
      </c>
      <c r="H699" s="324">
        <v>0</v>
      </c>
      <c r="J699" s="324">
        <v>5524629.4199999999</v>
      </c>
      <c r="K699" s="321">
        <f t="shared" si="10"/>
        <v>2783577.44</v>
      </c>
    </row>
    <row r="700" spans="1:11" ht="15.95" customHeight="1" x14ac:dyDescent="0.2">
      <c r="A700" s="325" t="s">
        <v>1246</v>
      </c>
      <c r="B700" s="375" t="s">
        <v>1247</v>
      </c>
      <c r="C700" s="376"/>
      <c r="D700" s="376"/>
      <c r="E700" s="326">
        <v>-385238.7</v>
      </c>
      <c r="F700" s="326">
        <v>0</v>
      </c>
      <c r="G700" s="327"/>
      <c r="H700" s="326">
        <v>222896.05</v>
      </c>
      <c r="I700" s="327"/>
      <c r="J700" s="326">
        <v>-608134.75</v>
      </c>
      <c r="K700" s="327">
        <f t="shared" si="10"/>
        <v>-222896.05</v>
      </c>
    </row>
    <row r="701" spans="1:11" ht="15.95" customHeight="1" x14ac:dyDescent="0.2">
      <c r="A701" s="325" t="s">
        <v>1248</v>
      </c>
      <c r="B701" s="375" t="s">
        <v>1249</v>
      </c>
      <c r="C701" s="376"/>
      <c r="D701" s="376"/>
      <c r="E701" s="326">
        <v>5956329.6299999999</v>
      </c>
      <c r="F701" s="326">
        <v>2973498.91</v>
      </c>
      <c r="G701" s="327"/>
      <c r="H701" s="326">
        <v>0</v>
      </c>
      <c r="I701" s="327"/>
      <c r="J701" s="326">
        <v>8929828.5399999991</v>
      </c>
      <c r="K701" s="327">
        <f t="shared" si="10"/>
        <v>2973498.9099999992</v>
      </c>
    </row>
    <row r="702" spans="1:11" ht="15.95" customHeight="1" x14ac:dyDescent="0.2">
      <c r="A702" s="323">
        <v>5</v>
      </c>
      <c r="B702" s="373" t="s">
        <v>1250</v>
      </c>
      <c r="C702" s="374"/>
      <c r="D702" s="374"/>
      <c r="E702" s="324">
        <v>16740911.5</v>
      </c>
      <c r="F702" s="324">
        <v>8422010.6199999992</v>
      </c>
      <c r="H702" s="324">
        <v>430348.79</v>
      </c>
      <c r="J702" s="324">
        <v>24732573.329999998</v>
      </c>
      <c r="K702" s="321">
        <f t="shared" si="10"/>
        <v>7991661.8299999982</v>
      </c>
    </row>
    <row r="703" spans="1:11" ht="27.95" customHeight="1" x14ac:dyDescent="0.2">
      <c r="A703" s="323">
        <v>51</v>
      </c>
      <c r="B703" s="373" t="s">
        <v>1250</v>
      </c>
      <c r="C703" s="374"/>
      <c r="D703" s="374"/>
      <c r="E703" s="324">
        <v>15064935.52</v>
      </c>
      <c r="F703" s="324">
        <v>7355657.3399999999</v>
      </c>
      <c r="H703" s="324">
        <v>326414.75</v>
      </c>
      <c r="J703" s="324">
        <v>22094178.109999999</v>
      </c>
      <c r="K703" s="321">
        <f t="shared" si="10"/>
        <v>7029242.5899999999</v>
      </c>
    </row>
    <row r="704" spans="1:11" ht="15.95" customHeight="1" x14ac:dyDescent="0.2">
      <c r="A704" s="323">
        <v>511</v>
      </c>
      <c r="B704" s="373" t="s">
        <v>1251</v>
      </c>
      <c r="C704" s="374"/>
      <c r="D704" s="374"/>
      <c r="E704" s="324">
        <v>15064935.52</v>
      </c>
      <c r="F704" s="324">
        <v>7355657.3399999999</v>
      </c>
      <c r="H704" s="324">
        <v>326414.75</v>
      </c>
      <c r="J704" s="324">
        <v>22094178.109999999</v>
      </c>
      <c r="K704" s="321">
        <f t="shared" si="10"/>
        <v>7029242.5899999999</v>
      </c>
    </row>
    <row r="705" spans="1:11" ht="15.95" customHeight="1" x14ac:dyDescent="0.2">
      <c r="A705" s="323">
        <v>51101</v>
      </c>
      <c r="B705" s="373" t="s">
        <v>1251</v>
      </c>
      <c r="C705" s="374"/>
      <c r="D705" s="374"/>
      <c r="E705" s="324">
        <v>15064935.52</v>
      </c>
      <c r="F705" s="324">
        <v>7355657.3399999999</v>
      </c>
      <c r="H705" s="324">
        <v>326414.75</v>
      </c>
      <c r="J705" s="324">
        <v>22094178.109999999</v>
      </c>
      <c r="K705" s="321">
        <f t="shared" si="10"/>
        <v>7029242.5899999999</v>
      </c>
    </row>
    <row r="706" spans="1:11" ht="15.95" customHeight="1" x14ac:dyDescent="0.2">
      <c r="A706" s="323">
        <v>5110101</v>
      </c>
      <c r="B706" s="373" t="s">
        <v>1252</v>
      </c>
      <c r="C706" s="374"/>
      <c r="D706" s="374"/>
      <c r="E706" s="324">
        <v>7384302.7599999998</v>
      </c>
      <c r="F706" s="324">
        <v>3755732.17</v>
      </c>
      <c r="H706" s="324">
        <v>270122.61</v>
      </c>
      <c r="J706" s="324">
        <v>10869912.32</v>
      </c>
      <c r="K706" s="321">
        <f t="shared" si="10"/>
        <v>3485609.5600000005</v>
      </c>
    </row>
    <row r="707" spans="1:11" ht="15.95" customHeight="1" x14ac:dyDescent="0.2">
      <c r="A707" s="323" t="s">
        <v>1253</v>
      </c>
      <c r="B707" s="373" t="s">
        <v>1164</v>
      </c>
      <c r="C707" s="374"/>
      <c r="D707" s="374"/>
      <c r="E707" s="324">
        <v>2331708.2599999998</v>
      </c>
      <c r="F707" s="324">
        <v>1115399.22</v>
      </c>
      <c r="H707" s="324">
        <v>19760.82</v>
      </c>
      <c r="J707" s="324">
        <v>3427346.66</v>
      </c>
      <c r="K707" s="321">
        <f t="shared" ref="K707:K770" si="11">J707-E707</f>
        <v>1095638.4000000004</v>
      </c>
    </row>
    <row r="708" spans="1:11" ht="15.95" customHeight="1" x14ac:dyDescent="0.2">
      <c r="A708" s="323" t="s">
        <v>1891</v>
      </c>
      <c r="B708" s="373" t="s">
        <v>1168</v>
      </c>
      <c r="C708" s="374"/>
      <c r="D708" s="374"/>
      <c r="E708" s="324">
        <v>0</v>
      </c>
      <c r="F708" s="324">
        <v>2561.17</v>
      </c>
      <c r="H708" s="324">
        <v>0</v>
      </c>
      <c r="J708" s="324">
        <v>2561.17</v>
      </c>
      <c r="K708" s="321">
        <f t="shared" si="11"/>
        <v>2561.17</v>
      </c>
    </row>
    <row r="709" spans="1:11" ht="15.95" customHeight="1" x14ac:dyDescent="0.2">
      <c r="A709" s="323" t="s">
        <v>1254</v>
      </c>
      <c r="B709" s="373" t="s">
        <v>1166</v>
      </c>
      <c r="C709" s="374"/>
      <c r="D709" s="374"/>
      <c r="E709" s="324">
        <v>811344.65</v>
      </c>
      <c r="F709" s="324">
        <v>382980.49</v>
      </c>
      <c r="H709" s="324">
        <v>178.17</v>
      </c>
      <c r="J709" s="324">
        <v>1194146.97</v>
      </c>
      <c r="K709" s="321">
        <f t="shared" si="11"/>
        <v>382802.31999999995</v>
      </c>
    </row>
    <row r="710" spans="1:11" ht="15.95" customHeight="1" x14ac:dyDescent="0.2">
      <c r="A710" s="323" t="s">
        <v>1255</v>
      </c>
      <c r="B710" s="373" t="s">
        <v>1186</v>
      </c>
      <c r="C710" s="374"/>
      <c r="D710" s="374"/>
      <c r="E710" s="324">
        <v>186087.16</v>
      </c>
      <c r="F710" s="324">
        <v>108519.48</v>
      </c>
      <c r="H710" s="324">
        <v>5408.3</v>
      </c>
      <c r="J710" s="324">
        <v>289198.34000000003</v>
      </c>
      <c r="K710" s="321">
        <f t="shared" si="11"/>
        <v>103111.18000000002</v>
      </c>
    </row>
    <row r="711" spans="1:11" ht="15.95" customHeight="1" x14ac:dyDescent="0.2">
      <c r="A711" s="323" t="s">
        <v>1258</v>
      </c>
      <c r="B711" s="373" t="s">
        <v>1176</v>
      </c>
      <c r="C711" s="374"/>
      <c r="D711" s="374"/>
      <c r="E711" s="324">
        <v>1278103.27</v>
      </c>
      <c r="F711" s="324">
        <v>633653.68000000005</v>
      </c>
      <c r="H711" s="324">
        <v>26631.37</v>
      </c>
      <c r="J711" s="324">
        <v>1885125.58</v>
      </c>
      <c r="K711" s="321">
        <f t="shared" si="11"/>
        <v>607022.31000000006</v>
      </c>
    </row>
    <row r="712" spans="1:11" ht="15.95" customHeight="1" x14ac:dyDescent="0.2">
      <c r="A712" s="323" t="s">
        <v>1259</v>
      </c>
      <c r="B712" s="373" t="s">
        <v>1178</v>
      </c>
      <c r="C712" s="374"/>
      <c r="D712" s="374"/>
      <c r="E712" s="324">
        <v>362944.52</v>
      </c>
      <c r="F712" s="324">
        <v>181414.9</v>
      </c>
      <c r="H712" s="324">
        <v>7978.82</v>
      </c>
      <c r="J712" s="324">
        <v>536380.6</v>
      </c>
      <c r="K712" s="321">
        <f t="shared" si="11"/>
        <v>173436.07999999996</v>
      </c>
    </row>
    <row r="713" spans="1:11" ht="15.95" customHeight="1" x14ac:dyDescent="0.2">
      <c r="A713" s="323" t="s">
        <v>1260</v>
      </c>
      <c r="B713" s="373" t="s">
        <v>1261</v>
      </c>
      <c r="C713" s="374"/>
      <c r="D713" s="374"/>
      <c r="E713" s="324">
        <v>319754.84999999998</v>
      </c>
      <c r="F713" s="324">
        <v>138602.78</v>
      </c>
      <c r="H713" s="324">
        <v>15259.03</v>
      </c>
      <c r="J713" s="324">
        <v>443098.6</v>
      </c>
      <c r="K713" s="321">
        <f t="shared" si="11"/>
        <v>123343.75</v>
      </c>
    </row>
    <row r="714" spans="1:11" ht="15.95" customHeight="1" x14ac:dyDescent="0.2">
      <c r="A714" s="323" t="s">
        <v>1262</v>
      </c>
      <c r="B714" s="373" t="s">
        <v>1263</v>
      </c>
      <c r="C714" s="374"/>
      <c r="D714" s="374"/>
      <c r="E714" s="324">
        <v>303100.84999999998</v>
      </c>
      <c r="F714" s="324">
        <v>219046.81</v>
      </c>
      <c r="H714" s="324">
        <v>125988.77</v>
      </c>
      <c r="J714" s="324">
        <v>396158.89</v>
      </c>
      <c r="K714" s="321">
        <f t="shared" si="11"/>
        <v>93058.040000000037</v>
      </c>
    </row>
    <row r="715" spans="1:11" ht="15.95" customHeight="1" x14ac:dyDescent="0.2">
      <c r="A715" s="323" t="s">
        <v>1264</v>
      </c>
      <c r="B715" s="373" t="s">
        <v>1184</v>
      </c>
      <c r="C715" s="374"/>
      <c r="D715" s="374"/>
      <c r="E715" s="324">
        <v>0</v>
      </c>
      <c r="F715" s="324">
        <v>2428.6999999999998</v>
      </c>
      <c r="H715" s="324">
        <v>91.61</v>
      </c>
      <c r="J715" s="324">
        <v>2337.09</v>
      </c>
      <c r="K715" s="321">
        <f t="shared" si="11"/>
        <v>2337.09</v>
      </c>
    </row>
    <row r="716" spans="1:11" ht="15.95" customHeight="1" x14ac:dyDescent="0.2">
      <c r="A716" s="323" t="s">
        <v>1265</v>
      </c>
      <c r="B716" s="373" t="s">
        <v>1266</v>
      </c>
      <c r="C716" s="374"/>
      <c r="D716" s="374"/>
      <c r="E716" s="324">
        <v>544444.78</v>
      </c>
      <c r="F716" s="324">
        <v>226482.37</v>
      </c>
      <c r="H716" s="324">
        <v>46816.21</v>
      </c>
      <c r="J716" s="324">
        <v>724110.94</v>
      </c>
      <c r="K716" s="321">
        <f t="shared" si="11"/>
        <v>179666.15999999992</v>
      </c>
    </row>
    <row r="717" spans="1:11" ht="15.95" customHeight="1" x14ac:dyDescent="0.2">
      <c r="A717" s="323" t="s">
        <v>1267</v>
      </c>
      <c r="B717" s="373" t="s">
        <v>1198</v>
      </c>
      <c r="C717" s="374"/>
      <c r="D717" s="374"/>
      <c r="E717" s="324">
        <v>369014.11</v>
      </c>
      <c r="F717" s="324">
        <v>260799.79</v>
      </c>
      <c r="H717" s="324">
        <v>10018.44</v>
      </c>
      <c r="J717" s="324">
        <v>619795.46</v>
      </c>
      <c r="K717" s="321">
        <f t="shared" si="11"/>
        <v>250781.34999999998</v>
      </c>
    </row>
    <row r="718" spans="1:11" ht="15.95" customHeight="1" x14ac:dyDescent="0.2">
      <c r="A718" s="323" t="s">
        <v>1268</v>
      </c>
      <c r="B718" s="373" t="s">
        <v>1269</v>
      </c>
      <c r="C718" s="374"/>
      <c r="D718" s="374"/>
      <c r="E718" s="324">
        <v>142782.79</v>
      </c>
      <c r="F718" s="324">
        <v>39930.71</v>
      </c>
      <c r="H718" s="324">
        <v>0</v>
      </c>
      <c r="J718" s="324">
        <v>182713.5</v>
      </c>
      <c r="K718" s="321">
        <f t="shared" si="11"/>
        <v>39930.709999999992</v>
      </c>
    </row>
    <row r="719" spans="1:11" ht="15.95" customHeight="1" x14ac:dyDescent="0.2">
      <c r="A719" s="323" t="s">
        <v>1270</v>
      </c>
      <c r="B719" s="373" t="s">
        <v>658</v>
      </c>
      <c r="C719" s="374"/>
      <c r="D719" s="374"/>
      <c r="E719" s="324">
        <v>4340.82</v>
      </c>
      <c r="F719" s="324">
        <v>2492.0700000000002</v>
      </c>
      <c r="H719" s="324">
        <v>0</v>
      </c>
      <c r="J719" s="324">
        <v>6832.89</v>
      </c>
      <c r="K719" s="321">
        <f t="shared" si="11"/>
        <v>2492.0700000000006</v>
      </c>
    </row>
    <row r="720" spans="1:11" ht="15.95" customHeight="1" x14ac:dyDescent="0.2">
      <c r="A720" s="323" t="s">
        <v>1271</v>
      </c>
      <c r="B720" s="373" t="s">
        <v>1272</v>
      </c>
      <c r="C720" s="374"/>
      <c r="D720" s="374"/>
      <c r="E720" s="324">
        <v>4520.8900000000003</v>
      </c>
      <c r="F720" s="324">
        <v>4579.55</v>
      </c>
      <c r="H720" s="324">
        <v>0</v>
      </c>
      <c r="J720" s="324">
        <v>9100.44</v>
      </c>
      <c r="K720" s="321">
        <f t="shared" si="11"/>
        <v>4579.55</v>
      </c>
    </row>
    <row r="721" spans="1:11" ht="15.95" customHeight="1" x14ac:dyDescent="0.2">
      <c r="A721" s="323" t="s">
        <v>1273</v>
      </c>
      <c r="B721" s="373" t="s">
        <v>1274</v>
      </c>
      <c r="C721" s="374"/>
      <c r="D721" s="374"/>
      <c r="E721" s="324">
        <v>33205.85</v>
      </c>
      <c r="F721" s="324">
        <v>24740.91</v>
      </c>
      <c r="H721" s="324">
        <v>5164.8999999999996</v>
      </c>
      <c r="J721" s="324">
        <v>52781.86</v>
      </c>
      <c r="K721" s="321">
        <f t="shared" si="11"/>
        <v>19576.010000000002</v>
      </c>
    </row>
    <row r="722" spans="1:11" ht="15.95" customHeight="1" x14ac:dyDescent="0.2">
      <c r="A722" s="323" t="s">
        <v>1275</v>
      </c>
      <c r="B722" s="373" t="s">
        <v>1188</v>
      </c>
      <c r="C722" s="374"/>
      <c r="D722" s="374"/>
      <c r="E722" s="324">
        <v>87979.53</v>
      </c>
      <c r="F722" s="324">
        <v>60611.839999999997</v>
      </c>
      <c r="H722" s="324">
        <v>0</v>
      </c>
      <c r="J722" s="324">
        <v>148591.37</v>
      </c>
      <c r="K722" s="321">
        <f t="shared" si="11"/>
        <v>60611.839999999997</v>
      </c>
    </row>
    <row r="723" spans="1:11" ht="15.95" customHeight="1" x14ac:dyDescent="0.2">
      <c r="A723" s="323" t="s">
        <v>1276</v>
      </c>
      <c r="B723" s="373" t="s">
        <v>1180</v>
      </c>
      <c r="C723" s="374"/>
      <c r="D723" s="374"/>
      <c r="E723" s="324">
        <v>15641.27</v>
      </c>
      <c r="F723" s="324">
        <v>16048.01</v>
      </c>
      <c r="H723" s="324">
        <v>4970.51</v>
      </c>
      <c r="J723" s="324">
        <v>26718.77</v>
      </c>
      <c r="K723" s="321">
        <f t="shared" si="11"/>
        <v>11077.5</v>
      </c>
    </row>
    <row r="724" spans="1:11" ht="15.95" customHeight="1" x14ac:dyDescent="0.2">
      <c r="A724" s="323" t="s">
        <v>1277</v>
      </c>
      <c r="B724" s="373" t="s">
        <v>1190</v>
      </c>
      <c r="C724" s="374"/>
      <c r="D724" s="374"/>
      <c r="E724" s="324">
        <v>122578.9</v>
      </c>
      <c r="F724" s="324">
        <v>58166.37</v>
      </c>
      <c r="H724" s="324">
        <v>1236.2</v>
      </c>
      <c r="J724" s="324">
        <v>179509.07</v>
      </c>
      <c r="K724" s="321">
        <f t="shared" si="11"/>
        <v>56930.170000000013</v>
      </c>
    </row>
    <row r="725" spans="1:11" ht="15.95" customHeight="1" x14ac:dyDescent="0.2">
      <c r="A725" s="323" t="s">
        <v>1278</v>
      </c>
      <c r="B725" s="373" t="s">
        <v>1279</v>
      </c>
      <c r="C725" s="374"/>
      <c r="D725" s="374"/>
      <c r="E725" s="324">
        <v>4874.25</v>
      </c>
      <c r="F725" s="324">
        <v>1794</v>
      </c>
      <c r="H725" s="324">
        <v>619.46</v>
      </c>
      <c r="J725" s="324">
        <v>6048.79</v>
      </c>
      <c r="K725" s="321">
        <f t="shared" si="11"/>
        <v>1174.54</v>
      </c>
    </row>
    <row r="726" spans="1:11" ht="15.95" customHeight="1" x14ac:dyDescent="0.2">
      <c r="A726" s="323" t="s">
        <v>1280</v>
      </c>
      <c r="B726" s="373" t="s">
        <v>1192</v>
      </c>
      <c r="C726" s="374"/>
      <c r="D726" s="374"/>
      <c r="E726" s="324">
        <v>25571.83</v>
      </c>
      <c r="F726" s="324">
        <v>5097.78</v>
      </c>
      <c r="H726" s="324">
        <v>0</v>
      </c>
      <c r="J726" s="324">
        <v>30669.61</v>
      </c>
      <c r="K726" s="321">
        <f t="shared" si="11"/>
        <v>5097.7799999999988</v>
      </c>
    </row>
    <row r="727" spans="1:11" ht="15.95" customHeight="1" x14ac:dyDescent="0.2">
      <c r="A727" s="323" t="s">
        <v>1281</v>
      </c>
      <c r="B727" s="373" t="s">
        <v>1200</v>
      </c>
      <c r="C727" s="374"/>
      <c r="D727" s="374"/>
      <c r="E727" s="324">
        <v>416671.68</v>
      </c>
      <c r="F727" s="324">
        <v>270381.53999999998</v>
      </c>
      <c r="H727" s="324">
        <v>0</v>
      </c>
      <c r="J727" s="324">
        <v>687053.22</v>
      </c>
      <c r="K727" s="321">
        <f t="shared" si="11"/>
        <v>270381.53999999998</v>
      </c>
    </row>
    <row r="728" spans="1:11" ht="15.95" customHeight="1" x14ac:dyDescent="0.2">
      <c r="A728" s="323" t="s">
        <v>1558</v>
      </c>
      <c r="B728" s="373" t="s">
        <v>1559</v>
      </c>
      <c r="C728" s="374"/>
      <c r="D728" s="374"/>
      <c r="E728" s="324">
        <v>19632.5</v>
      </c>
      <c r="F728" s="324">
        <v>0</v>
      </c>
      <c r="H728" s="324">
        <v>0</v>
      </c>
      <c r="J728" s="324">
        <v>19632.5</v>
      </c>
      <c r="K728" s="321">
        <f t="shared" si="11"/>
        <v>0</v>
      </c>
    </row>
    <row r="729" spans="1:11" ht="15.95" customHeight="1" x14ac:dyDescent="0.2">
      <c r="A729" s="323">
        <v>5110102</v>
      </c>
      <c r="B729" s="373" t="s">
        <v>1286</v>
      </c>
      <c r="C729" s="374"/>
      <c r="D729" s="374"/>
      <c r="E729" s="324">
        <v>211117.29</v>
      </c>
      <c r="F729" s="324">
        <v>117949.58</v>
      </c>
      <c r="H729" s="324">
        <v>0</v>
      </c>
      <c r="J729" s="324">
        <v>329066.87</v>
      </c>
      <c r="K729" s="321">
        <f t="shared" si="11"/>
        <v>117949.57999999999</v>
      </c>
    </row>
    <row r="730" spans="1:11" ht="15.95" customHeight="1" x14ac:dyDescent="0.2">
      <c r="A730" s="323" t="s">
        <v>1287</v>
      </c>
      <c r="B730" s="373" t="s">
        <v>1288</v>
      </c>
      <c r="C730" s="374"/>
      <c r="D730" s="374"/>
      <c r="E730" s="324">
        <v>60865.440000000002</v>
      </c>
      <c r="F730" s="324">
        <v>30734.04</v>
      </c>
      <c r="H730" s="324">
        <v>0</v>
      </c>
      <c r="J730" s="324">
        <v>91599.48</v>
      </c>
      <c r="K730" s="321">
        <f t="shared" si="11"/>
        <v>30734.039999999994</v>
      </c>
    </row>
    <row r="731" spans="1:11" ht="15.95" customHeight="1" x14ac:dyDescent="0.2">
      <c r="A731" s="323" t="s">
        <v>1289</v>
      </c>
      <c r="B731" s="373" t="s">
        <v>1290</v>
      </c>
      <c r="C731" s="374"/>
      <c r="D731" s="374"/>
      <c r="E731" s="324">
        <v>91574.36</v>
      </c>
      <c r="F731" s="324">
        <v>43539.89</v>
      </c>
      <c r="H731" s="324">
        <v>0</v>
      </c>
      <c r="J731" s="324">
        <v>135114.25</v>
      </c>
      <c r="K731" s="321">
        <f t="shared" si="11"/>
        <v>43539.89</v>
      </c>
    </row>
    <row r="732" spans="1:11" ht="15.95" customHeight="1" x14ac:dyDescent="0.2">
      <c r="A732" s="323" t="s">
        <v>1625</v>
      </c>
      <c r="B732" s="373" t="s">
        <v>1562</v>
      </c>
      <c r="C732" s="374"/>
      <c r="D732" s="374"/>
      <c r="E732" s="324">
        <v>59.9</v>
      </c>
      <c r="F732" s="324">
        <v>0</v>
      </c>
      <c r="H732" s="324">
        <v>0</v>
      </c>
      <c r="J732" s="324">
        <v>59.9</v>
      </c>
      <c r="K732" s="321">
        <f t="shared" si="11"/>
        <v>0</v>
      </c>
    </row>
    <row r="733" spans="1:11" ht="15.95" customHeight="1" x14ac:dyDescent="0.2">
      <c r="A733" s="323" t="s">
        <v>1626</v>
      </c>
      <c r="B733" s="373" t="s">
        <v>1564</v>
      </c>
      <c r="C733" s="374"/>
      <c r="D733" s="374"/>
      <c r="E733" s="324">
        <v>399</v>
      </c>
      <c r="F733" s="324">
        <v>0</v>
      </c>
      <c r="H733" s="324">
        <v>0</v>
      </c>
      <c r="J733" s="324">
        <v>399</v>
      </c>
      <c r="K733" s="321">
        <f t="shared" si="11"/>
        <v>0</v>
      </c>
    </row>
    <row r="734" spans="1:11" ht="15.95" customHeight="1" x14ac:dyDescent="0.2">
      <c r="A734" s="323" t="s">
        <v>1560</v>
      </c>
      <c r="B734" s="373" t="s">
        <v>1300</v>
      </c>
      <c r="C734" s="374"/>
      <c r="D734" s="374"/>
      <c r="E734" s="324">
        <v>70</v>
      </c>
      <c r="F734" s="324">
        <v>0</v>
      </c>
      <c r="H734" s="324">
        <v>0</v>
      </c>
      <c r="J734" s="324">
        <v>70</v>
      </c>
      <c r="K734" s="321">
        <f t="shared" si="11"/>
        <v>0</v>
      </c>
    </row>
    <row r="735" spans="1:11" ht="15.95" customHeight="1" x14ac:dyDescent="0.2">
      <c r="A735" s="323" t="s">
        <v>1867</v>
      </c>
      <c r="B735" s="373" t="s">
        <v>1213</v>
      </c>
      <c r="C735" s="374"/>
      <c r="D735" s="374"/>
      <c r="E735" s="324">
        <v>0</v>
      </c>
      <c r="F735" s="324">
        <v>648</v>
      </c>
      <c r="H735" s="324">
        <v>0</v>
      </c>
      <c r="J735" s="324">
        <v>648</v>
      </c>
      <c r="K735" s="321">
        <f t="shared" si="11"/>
        <v>648</v>
      </c>
    </row>
    <row r="736" spans="1:11" ht="15.95" customHeight="1" x14ac:dyDescent="0.2">
      <c r="A736" s="323" t="s">
        <v>1291</v>
      </c>
      <c r="B736" s="373" t="s">
        <v>1292</v>
      </c>
      <c r="C736" s="374"/>
      <c r="D736" s="374"/>
      <c r="E736" s="324">
        <v>23050.53</v>
      </c>
      <c r="F736" s="324">
        <v>23050.53</v>
      </c>
      <c r="H736" s="324">
        <v>0</v>
      </c>
      <c r="J736" s="324">
        <v>46101.06</v>
      </c>
      <c r="K736" s="321">
        <f t="shared" si="11"/>
        <v>23050.53</v>
      </c>
    </row>
    <row r="737" spans="1:11" ht="15.95" customHeight="1" x14ac:dyDescent="0.2">
      <c r="A737" s="323" t="s">
        <v>1293</v>
      </c>
      <c r="B737" s="373" t="s">
        <v>1294</v>
      </c>
      <c r="C737" s="374"/>
      <c r="D737" s="374"/>
      <c r="E737" s="324">
        <v>35098.06</v>
      </c>
      <c r="F737" s="324">
        <v>19977.12</v>
      </c>
      <c r="H737" s="324">
        <v>0</v>
      </c>
      <c r="J737" s="324">
        <v>55075.18</v>
      </c>
      <c r="K737" s="321">
        <f t="shared" si="11"/>
        <v>19977.120000000003</v>
      </c>
    </row>
    <row r="738" spans="1:11" ht="15.95" customHeight="1" x14ac:dyDescent="0.2">
      <c r="A738" s="323">
        <v>5110103</v>
      </c>
      <c r="B738" s="373" t="s">
        <v>1295</v>
      </c>
      <c r="C738" s="374"/>
      <c r="D738" s="374"/>
      <c r="E738" s="324">
        <v>4768464.6399999997</v>
      </c>
      <c r="F738" s="324">
        <v>1864681.04</v>
      </c>
      <c r="H738" s="324">
        <v>43605.81</v>
      </c>
      <c r="J738" s="324">
        <v>6589539.8700000001</v>
      </c>
      <c r="K738" s="321">
        <f t="shared" si="11"/>
        <v>1821075.2300000004</v>
      </c>
    </row>
    <row r="739" spans="1:11" ht="15.95" customHeight="1" x14ac:dyDescent="0.2">
      <c r="A739" s="323" t="s">
        <v>1627</v>
      </c>
      <c r="B739" s="373" t="s">
        <v>1628</v>
      </c>
      <c r="C739" s="374"/>
      <c r="D739" s="374"/>
      <c r="E739" s="324">
        <v>36000</v>
      </c>
      <c r="F739" s="324">
        <v>1788</v>
      </c>
      <c r="H739" s="324">
        <v>0</v>
      </c>
      <c r="J739" s="324">
        <v>37788</v>
      </c>
      <c r="K739" s="321">
        <f t="shared" si="11"/>
        <v>1788</v>
      </c>
    </row>
    <row r="740" spans="1:11" ht="15.95" customHeight="1" x14ac:dyDescent="0.2">
      <c r="A740" s="323" t="s">
        <v>1296</v>
      </c>
      <c r="B740" s="373" t="s">
        <v>1297</v>
      </c>
      <c r="C740" s="374"/>
      <c r="D740" s="374"/>
      <c r="E740" s="324">
        <v>161657.98000000001</v>
      </c>
      <c r="F740" s="324">
        <v>201939.49</v>
      </c>
      <c r="H740" s="324">
        <v>0</v>
      </c>
      <c r="J740" s="324">
        <v>363597.47</v>
      </c>
      <c r="K740" s="321">
        <f t="shared" si="11"/>
        <v>201939.48999999996</v>
      </c>
    </row>
    <row r="741" spans="1:11" ht="15.95" customHeight="1" x14ac:dyDescent="0.2">
      <c r="A741" s="323" t="s">
        <v>1298</v>
      </c>
      <c r="B741" s="373" t="s">
        <v>1203</v>
      </c>
      <c r="C741" s="374"/>
      <c r="D741" s="374"/>
      <c r="E741" s="324">
        <v>833</v>
      </c>
      <c r="F741" s="324">
        <v>1328</v>
      </c>
      <c r="H741" s="324">
        <v>0</v>
      </c>
      <c r="J741" s="324">
        <v>2161</v>
      </c>
      <c r="K741" s="321">
        <f t="shared" si="11"/>
        <v>1328</v>
      </c>
    </row>
    <row r="742" spans="1:11" ht="15.95" customHeight="1" x14ac:dyDescent="0.2">
      <c r="A742" s="323" t="s">
        <v>1561</v>
      </c>
      <c r="B742" s="373" t="s">
        <v>1562</v>
      </c>
      <c r="C742" s="374"/>
      <c r="D742" s="374"/>
      <c r="E742" s="324">
        <v>113203.86</v>
      </c>
      <c r="F742" s="324">
        <v>0</v>
      </c>
      <c r="H742" s="324">
        <v>0</v>
      </c>
      <c r="J742" s="324">
        <v>113203.86</v>
      </c>
      <c r="K742" s="321">
        <f t="shared" si="11"/>
        <v>0</v>
      </c>
    </row>
    <row r="743" spans="1:11" ht="15.95" customHeight="1" x14ac:dyDescent="0.2">
      <c r="A743" s="323" t="s">
        <v>1563</v>
      </c>
      <c r="B743" s="373" t="s">
        <v>1564</v>
      </c>
      <c r="C743" s="374"/>
      <c r="D743" s="374"/>
      <c r="E743" s="324">
        <v>1020</v>
      </c>
      <c r="F743" s="324">
        <v>306</v>
      </c>
      <c r="H743" s="324">
        <v>0</v>
      </c>
      <c r="J743" s="324">
        <v>1326</v>
      </c>
      <c r="K743" s="321">
        <f t="shared" si="11"/>
        <v>306</v>
      </c>
    </row>
    <row r="744" spans="1:11" ht="15.95" customHeight="1" x14ac:dyDescent="0.2">
      <c r="A744" s="323" t="s">
        <v>1892</v>
      </c>
      <c r="B744" s="373" t="s">
        <v>1893</v>
      </c>
      <c r="C744" s="374"/>
      <c r="D744" s="374"/>
      <c r="E744" s="324">
        <v>0</v>
      </c>
      <c r="F744" s="324">
        <v>270</v>
      </c>
      <c r="H744" s="324">
        <v>0</v>
      </c>
      <c r="J744" s="324">
        <v>270</v>
      </c>
      <c r="K744" s="321">
        <f t="shared" si="11"/>
        <v>270</v>
      </c>
    </row>
    <row r="745" spans="1:11" ht="15.95" customHeight="1" x14ac:dyDescent="0.2">
      <c r="A745" s="323" t="s">
        <v>1299</v>
      </c>
      <c r="B745" s="373" t="s">
        <v>1300</v>
      </c>
      <c r="C745" s="374"/>
      <c r="D745" s="374"/>
      <c r="E745" s="324">
        <v>9893.58</v>
      </c>
      <c r="F745" s="324">
        <v>445</v>
      </c>
      <c r="H745" s="324">
        <v>0</v>
      </c>
      <c r="J745" s="324">
        <v>10338.58</v>
      </c>
      <c r="K745" s="321">
        <f t="shared" si="11"/>
        <v>445</v>
      </c>
    </row>
    <row r="746" spans="1:11" ht="15.95" customHeight="1" x14ac:dyDescent="0.2">
      <c r="A746" s="323" t="s">
        <v>1565</v>
      </c>
      <c r="B746" s="373" t="s">
        <v>1566</v>
      </c>
      <c r="C746" s="374"/>
      <c r="D746" s="374"/>
      <c r="E746" s="324">
        <v>15495.21</v>
      </c>
      <c r="F746" s="324">
        <v>30619.34</v>
      </c>
      <c r="H746" s="324">
        <v>0</v>
      </c>
      <c r="J746" s="324">
        <v>46114.55</v>
      </c>
      <c r="K746" s="321">
        <f t="shared" si="11"/>
        <v>30619.340000000004</v>
      </c>
    </row>
    <row r="747" spans="1:11" ht="15.95" customHeight="1" x14ac:dyDescent="0.2">
      <c r="A747" s="323" t="s">
        <v>1301</v>
      </c>
      <c r="B747" s="373" t="s">
        <v>1302</v>
      </c>
      <c r="C747" s="374"/>
      <c r="D747" s="374"/>
      <c r="E747" s="324">
        <v>16976.52</v>
      </c>
      <c r="F747" s="324">
        <v>9638.27</v>
      </c>
      <c r="H747" s="324">
        <v>0</v>
      </c>
      <c r="J747" s="324">
        <v>26614.79</v>
      </c>
      <c r="K747" s="321">
        <f t="shared" si="11"/>
        <v>9638.27</v>
      </c>
    </row>
    <row r="748" spans="1:11" ht="15.95" customHeight="1" x14ac:dyDescent="0.2">
      <c r="A748" s="323" t="s">
        <v>1303</v>
      </c>
      <c r="B748" s="373" t="s">
        <v>1304</v>
      </c>
      <c r="C748" s="374"/>
      <c r="D748" s="374"/>
      <c r="E748" s="324">
        <v>1213530.51</v>
      </c>
      <c r="F748" s="324">
        <v>325326.40999999997</v>
      </c>
      <c r="H748" s="324">
        <v>19761.39</v>
      </c>
      <c r="J748" s="324">
        <v>1519095.53</v>
      </c>
      <c r="K748" s="321">
        <f t="shared" si="11"/>
        <v>305565.02</v>
      </c>
    </row>
    <row r="749" spans="1:11" ht="15.95" customHeight="1" x14ac:dyDescent="0.2">
      <c r="A749" s="323" t="s">
        <v>1305</v>
      </c>
      <c r="B749" s="373" t="s">
        <v>1306</v>
      </c>
      <c r="C749" s="374"/>
      <c r="D749" s="374"/>
      <c r="E749" s="324">
        <v>1598454.61</v>
      </c>
      <c r="F749" s="324">
        <v>745138.32</v>
      </c>
      <c r="H749" s="324">
        <v>23844.42</v>
      </c>
      <c r="J749" s="324">
        <v>2319748.5099999998</v>
      </c>
      <c r="K749" s="321">
        <f t="shared" si="11"/>
        <v>721293.89999999967</v>
      </c>
    </row>
    <row r="750" spans="1:11" ht="15.95" customHeight="1" x14ac:dyDescent="0.2">
      <c r="A750" s="323" t="s">
        <v>1307</v>
      </c>
      <c r="B750" s="373" t="s">
        <v>1308</v>
      </c>
      <c r="C750" s="374"/>
      <c r="D750" s="374"/>
      <c r="E750" s="324">
        <v>12608</v>
      </c>
      <c r="F750" s="324">
        <v>4126.17</v>
      </c>
      <c r="H750" s="324">
        <v>0</v>
      </c>
      <c r="J750" s="324">
        <v>16734.169999999998</v>
      </c>
      <c r="K750" s="321">
        <f t="shared" si="11"/>
        <v>4126.1699999999983</v>
      </c>
    </row>
    <row r="751" spans="1:11" ht="15.95" customHeight="1" x14ac:dyDescent="0.2">
      <c r="A751" s="323" t="s">
        <v>1309</v>
      </c>
      <c r="B751" s="373" t="s">
        <v>1310</v>
      </c>
      <c r="C751" s="374"/>
      <c r="D751" s="374"/>
      <c r="E751" s="324">
        <v>1463475.97</v>
      </c>
      <c r="F751" s="324">
        <v>381856.01</v>
      </c>
      <c r="H751" s="324">
        <v>0</v>
      </c>
      <c r="J751" s="324">
        <v>1845331.98</v>
      </c>
      <c r="K751" s="321">
        <f t="shared" si="11"/>
        <v>381856.01</v>
      </c>
    </row>
    <row r="752" spans="1:11" ht="15.95" customHeight="1" x14ac:dyDescent="0.2">
      <c r="A752" s="323" t="s">
        <v>1311</v>
      </c>
      <c r="B752" s="373" t="s">
        <v>1312</v>
      </c>
      <c r="C752" s="374"/>
      <c r="D752" s="374"/>
      <c r="E752" s="324">
        <v>6500</v>
      </c>
      <c r="F752" s="324">
        <v>3932</v>
      </c>
      <c r="H752" s="324">
        <v>0</v>
      </c>
      <c r="J752" s="324">
        <v>10432</v>
      </c>
      <c r="K752" s="321">
        <f t="shared" si="11"/>
        <v>3932</v>
      </c>
    </row>
    <row r="753" spans="1:11" ht="15.95" customHeight="1" x14ac:dyDescent="0.2">
      <c r="A753" s="323" t="s">
        <v>1313</v>
      </c>
      <c r="B753" s="373" t="s">
        <v>1314</v>
      </c>
      <c r="C753" s="374"/>
      <c r="D753" s="374"/>
      <c r="E753" s="324">
        <v>33125</v>
      </c>
      <c r="F753" s="324">
        <v>13124.94</v>
      </c>
      <c r="H753" s="324">
        <v>0</v>
      </c>
      <c r="J753" s="324">
        <v>46249.94</v>
      </c>
      <c r="K753" s="321">
        <f t="shared" si="11"/>
        <v>13124.940000000002</v>
      </c>
    </row>
    <row r="754" spans="1:11" ht="15.95" customHeight="1" x14ac:dyDescent="0.2">
      <c r="A754" s="323" t="s">
        <v>1315</v>
      </c>
      <c r="B754" s="373" t="s">
        <v>1316</v>
      </c>
      <c r="C754" s="374"/>
      <c r="D754" s="374"/>
      <c r="E754" s="324">
        <v>71540.399999999994</v>
      </c>
      <c r="F754" s="324">
        <v>0</v>
      </c>
      <c r="H754" s="324">
        <v>0</v>
      </c>
      <c r="J754" s="324">
        <v>71540.399999999994</v>
      </c>
      <c r="K754" s="321">
        <f t="shared" si="11"/>
        <v>0</v>
      </c>
    </row>
    <row r="755" spans="1:11" ht="15.95" customHeight="1" x14ac:dyDescent="0.2">
      <c r="A755" s="323" t="s">
        <v>1894</v>
      </c>
      <c r="B755" s="373" t="s">
        <v>1895</v>
      </c>
      <c r="C755" s="374"/>
      <c r="D755" s="374"/>
      <c r="E755" s="324">
        <v>0</v>
      </c>
      <c r="F755" s="324">
        <v>400</v>
      </c>
      <c r="H755" s="324">
        <v>0</v>
      </c>
      <c r="J755" s="324">
        <v>400</v>
      </c>
      <c r="K755" s="321">
        <f t="shared" si="11"/>
        <v>400</v>
      </c>
    </row>
    <row r="756" spans="1:11" ht="15.95" customHeight="1" x14ac:dyDescent="0.2">
      <c r="A756" s="323" t="s">
        <v>1317</v>
      </c>
      <c r="B756" s="373" t="s">
        <v>1318</v>
      </c>
      <c r="C756" s="374"/>
      <c r="D756" s="374"/>
      <c r="E756" s="324">
        <v>1041</v>
      </c>
      <c r="F756" s="324">
        <v>2548</v>
      </c>
      <c r="H756" s="324">
        <v>0</v>
      </c>
      <c r="J756" s="324">
        <v>3589</v>
      </c>
      <c r="K756" s="321">
        <f t="shared" si="11"/>
        <v>2548</v>
      </c>
    </row>
    <row r="757" spans="1:11" ht="27.95" customHeight="1" x14ac:dyDescent="0.2">
      <c r="A757" s="323" t="s">
        <v>1319</v>
      </c>
      <c r="B757" s="373" t="s">
        <v>1320</v>
      </c>
      <c r="C757" s="374"/>
      <c r="D757" s="374"/>
      <c r="E757" s="324">
        <v>0</v>
      </c>
      <c r="F757" s="324">
        <v>134325.09</v>
      </c>
      <c r="H757" s="324">
        <v>0</v>
      </c>
      <c r="J757" s="324">
        <v>134325.09</v>
      </c>
      <c r="K757" s="321">
        <f t="shared" si="11"/>
        <v>134325.09</v>
      </c>
    </row>
    <row r="758" spans="1:11" ht="15.95" customHeight="1" x14ac:dyDescent="0.2">
      <c r="A758" s="323" t="s">
        <v>1323</v>
      </c>
      <c r="B758" s="373" t="s">
        <v>1324</v>
      </c>
      <c r="C758" s="374"/>
      <c r="D758" s="374"/>
      <c r="E758" s="324">
        <v>13109</v>
      </c>
      <c r="F758" s="324">
        <v>7570</v>
      </c>
      <c r="H758" s="324">
        <v>0</v>
      </c>
      <c r="J758" s="324">
        <v>20679</v>
      </c>
      <c r="K758" s="321">
        <f t="shared" si="11"/>
        <v>7570</v>
      </c>
    </row>
    <row r="759" spans="1:11" ht="15.95" customHeight="1" x14ac:dyDescent="0.2">
      <c r="A759" s="323">
        <v>5110104</v>
      </c>
      <c r="B759" s="373" t="s">
        <v>1325</v>
      </c>
      <c r="C759" s="374"/>
      <c r="D759" s="374"/>
      <c r="E759" s="324">
        <v>119219.08</v>
      </c>
      <c r="F759" s="324">
        <v>47854.61</v>
      </c>
      <c r="H759" s="324">
        <v>16</v>
      </c>
      <c r="J759" s="324">
        <v>167057.69</v>
      </c>
      <c r="K759" s="321">
        <f t="shared" si="11"/>
        <v>47838.61</v>
      </c>
    </row>
    <row r="760" spans="1:11" ht="15.95" customHeight="1" x14ac:dyDescent="0.2">
      <c r="A760" s="323" t="s">
        <v>1326</v>
      </c>
      <c r="B760" s="373" t="s">
        <v>182</v>
      </c>
      <c r="C760" s="374"/>
      <c r="D760" s="374"/>
      <c r="E760" s="324">
        <v>23649.279999999999</v>
      </c>
      <c r="F760" s="324">
        <v>10378.35</v>
      </c>
      <c r="H760" s="324">
        <v>0</v>
      </c>
      <c r="J760" s="324">
        <v>34027.629999999997</v>
      </c>
      <c r="K760" s="321">
        <f t="shared" si="11"/>
        <v>10378.349999999999</v>
      </c>
    </row>
    <row r="761" spans="1:11" ht="15.95" customHeight="1" x14ac:dyDescent="0.2">
      <c r="A761" s="323" t="s">
        <v>1327</v>
      </c>
      <c r="B761" s="373" t="s">
        <v>1328</v>
      </c>
      <c r="C761" s="374"/>
      <c r="D761" s="374"/>
      <c r="E761" s="324">
        <v>27644.9</v>
      </c>
      <c r="F761" s="324">
        <v>6049.43</v>
      </c>
      <c r="H761" s="324">
        <v>0</v>
      </c>
      <c r="J761" s="324">
        <v>33694.33</v>
      </c>
      <c r="K761" s="321">
        <f t="shared" si="11"/>
        <v>6049.43</v>
      </c>
    </row>
    <row r="762" spans="1:11" ht="15.95" customHeight="1" x14ac:dyDescent="0.2">
      <c r="A762" s="323" t="s">
        <v>1329</v>
      </c>
      <c r="B762" s="373" t="s">
        <v>1330</v>
      </c>
      <c r="C762" s="374"/>
      <c r="D762" s="374"/>
      <c r="E762" s="324">
        <v>8986.23</v>
      </c>
      <c r="F762" s="324">
        <v>927.36</v>
      </c>
      <c r="H762" s="324">
        <v>0</v>
      </c>
      <c r="J762" s="324">
        <v>9913.59</v>
      </c>
      <c r="K762" s="321">
        <f t="shared" si="11"/>
        <v>927.36000000000058</v>
      </c>
    </row>
    <row r="763" spans="1:11" ht="15.95" customHeight="1" x14ac:dyDescent="0.2">
      <c r="A763" s="323" t="s">
        <v>1331</v>
      </c>
      <c r="B763" s="373" t="s">
        <v>1332</v>
      </c>
      <c r="C763" s="374"/>
      <c r="D763" s="374"/>
      <c r="E763" s="324">
        <v>631.55999999999995</v>
      </c>
      <c r="F763" s="324">
        <v>872.8</v>
      </c>
      <c r="H763" s="324">
        <v>0</v>
      </c>
      <c r="J763" s="324">
        <v>1504.36</v>
      </c>
      <c r="K763" s="321">
        <f t="shared" si="11"/>
        <v>872.8</v>
      </c>
    </row>
    <row r="764" spans="1:11" ht="15.95" customHeight="1" x14ac:dyDescent="0.2">
      <c r="A764" s="323" t="s">
        <v>1333</v>
      </c>
      <c r="B764" s="373" t="s">
        <v>186</v>
      </c>
      <c r="C764" s="374"/>
      <c r="D764" s="374"/>
      <c r="E764" s="324">
        <v>1994.75</v>
      </c>
      <c r="F764" s="324">
        <v>1151.5999999999999</v>
      </c>
      <c r="H764" s="324">
        <v>0</v>
      </c>
      <c r="J764" s="324">
        <v>3146.35</v>
      </c>
      <c r="K764" s="321">
        <f t="shared" si="11"/>
        <v>1151.5999999999999</v>
      </c>
    </row>
    <row r="765" spans="1:11" ht="15.95" customHeight="1" x14ac:dyDescent="0.2">
      <c r="A765" s="323" t="s">
        <v>1334</v>
      </c>
      <c r="B765" s="373" t="s">
        <v>1335</v>
      </c>
      <c r="C765" s="374"/>
      <c r="D765" s="374"/>
      <c r="E765" s="324">
        <v>2830.04</v>
      </c>
      <c r="F765" s="324">
        <v>1260.46</v>
      </c>
      <c r="H765" s="324">
        <v>0</v>
      </c>
      <c r="J765" s="324">
        <v>4090.5</v>
      </c>
      <c r="K765" s="321">
        <f t="shared" si="11"/>
        <v>1260.46</v>
      </c>
    </row>
    <row r="766" spans="1:11" ht="15.95" customHeight="1" x14ac:dyDescent="0.2">
      <c r="A766" s="323" t="s">
        <v>1336</v>
      </c>
      <c r="B766" s="373" t="s">
        <v>188</v>
      </c>
      <c r="C766" s="374"/>
      <c r="D766" s="374"/>
      <c r="E766" s="324">
        <v>1200.9000000000001</v>
      </c>
      <c r="F766" s="324">
        <v>803.93</v>
      </c>
      <c r="H766" s="324">
        <v>0</v>
      </c>
      <c r="J766" s="324">
        <v>2004.83</v>
      </c>
      <c r="K766" s="321">
        <f t="shared" si="11"/>
        <v>803.92999999999984</v>
      </c>
    </row>
    <row r="767" spans="1:11" ht="15.95" customHeight="1" x14ac:dyDescent="0.2">
      <c r="A767" s="323" t="s">
        <v>1337</v>
      </c>
      <c r="B767" s="373" t="s">
        <v>1227</v>
      </c>
      <c r="C767" s="374"/>
      <c r="D767" s="374"/>
      <c r="E767" s="324">
        <v>5959.58</v>
      </c>
      <c r="F767" s="324">
        <v>4358.72</v>
      </c>
      <c r="H767" s="324">
        <v>0</v>
      </c>
      <c r="J767" s="324">
        <v>10318.299999999999</v>
      </c>
      <c r="K767" s="321">
        <f t="shared" si="11"/>
        <v>4358.7199999999993</v>
      </c>
    </row>
    <row r="768" spans="1:11" ht="15.95" customHeight="1" x14ac:dyDescent="0.2">
      <c r="A768" s="323" t="s">
        <v>1338</v>
      </c>
      <c r="B768" s="373" t="s">
        <v>1224</v>
      </c>
      <c r="C768" s="374"/>
      <c r="D768" s="374"/>
      <c r="E768" s="324">
        <v>39496.79</v>
      </c>
      <c r="F768" s="324">
        <v>20510.41</v>
      </c>
      <c r="H768" s="324">
        <v>16</v>
      </c>
      <c r="J768" s="324">
        <v>59991.199999999997</v>
      </c>
      <c r="K768" s="321">
        <f t="shared" si="11"/>
        <v>20494.409999999996</v>
      </c>
    </row>
    <row r="769" spans="1:11" ht="15.95" customHeight="1" x14ac:dyDescent="0.2">
      <c r="A769" s="323" t="s">
        <v>1339</v>
      </c>
      <c r="B769" s="373" t="s">
        <v>1340</v>
      </c>
      <c r="C769" s="374"/>
      <c r="D769" s="374"/>
      <c r="E769" s="324">
        <v>1372.04</v>
      </c>
      <c r="F769" s="324">
        <v>1236.55</v>
      </c>
      <c r="H769" s="324">
        <v>0</v>
      </c>
      <c r="J769" s="324">
        <v>2608.59</v>
      </c>
      <c r="K769" s="321">
        <f t="shared" si="11"/>
        <v>1236.5500000000002</v>
      </c>
    </row>
    <row r="770" spans="1:11" ht="15.95" customHeight="1" x14ac:dyDescent="0.2">
      <c r="A770" s="323" t="s">
        <v>1629</v>
      </c>
      <c r="B770" s="373" t="s">
        <v>1630</v>
      </c>
      <c r="C770" s="374"/>
      <c r="D770" s="374"/>
      <c r="E770" s="324">
        <v>5205.6000000000004</v>
      </c>
      <c r="F770" s="324">
        <v>0</v>
      </c>
      <c r="H770" s="324">
        <v>0</v>
      </c>
      <c r="J770" s="324">
        <v>5205.6000000000004</v>
      </c>
      <c r="K770" s="321">
        <f t="shared" si="11"/>
        <v>0</v>
      </c>
    </row>
    <row r="771" spans="1:11" ht="15.95" customHeight="1" x14ac:dyDescent="0.2">
      <c r="A771" s="323" t="s">
        <v>1896</v>
      </c>
      <c r="B771" s="373" t="s">
        <v>1897</v>
      </c>
      <c r="C771" s="374"/>
      <c r="D771" s="374"/>
      <c r="E771" s="324">
        <v>0</v>
      </c>
      <c r="F771" s="324">
        <v>225</v>
      </c>
      <c r="H771" s="324">
        <v>0</v>
      </c>
      <c r="J771" s="324">
        <v>225</v>
      </c>
      <c r="K771" s="321">
        <f t="shared" ref="K771:K834" si="12">J771-E771</f>
        <v>225</v>
      </c>
    </row>
    <row r="772" spans="1:11" ht="15.95" customHeight="1" x14ac:dyDescent="0.2">
      <c r="A772" s="323" t="s">
        <v>1341</v>
      </c>
      <c r="B772" s="373" t="s">
        <v>1230</v>
      </c>
      <c r="C772" s="374"/>
      <c r="D772" s="374"/>
      <c r="E772" s="324">
        <v>247.41</v>
      </c>
      <c r="F772" s="324">
        <v>80</v>
      </c>
      <c r="H772" s="324">
        <v>0</v>
      </c>
      <c r="J772" s="324">
        <v>327.41000000000003</v>
      </c>
      <c r="K772" s="321">
        <f t="shared" si="12"/>
        <v>80.000000000000028</v>
      </c>
    </row>
    <row r="773" spans="1:11" ht="15.95" customHeight="1" x14ac:dyDescent="0.2">
      <c r="A773" s="323">
        <v>5110105</v>
      </c>
      <c r="B773" s="373" t="s">
        <v>1343</v>
      </c>
      <c r="C773" s="374"/>
      <c r="D773" s="374"/>
      <c r="E773" s="324">
        <v>2581831.75</v>
      </c>
      <c r="F773" s="324">
        <v>1569439.94</v>
      </c>
      <c r="H773" s="324">
        <v>12670.33</v>
      </c>
      <c r="J773" s="324">
        <v>4138601.36</v>
      </c>
      <c r="K773" s="321">
        <f t="shared" si="12"/>
        <v>1556769.6099999999</v>
      </c>
    </row>
    <row r="774" spans="1:11" ht="15.95" customHeight="1" x14ac:dyDescent="0.2">
      <c r="A774" s="323" t="s">
        <v>1344</v>
      </c>
      <c r="B774" s="373" t="s">
        <v>1239</v>
      </c>
      <c r="C774" s="374"/>
      <c r="D774" s="374"/>
      <c r="E774" s="324">
        <v>266398.17</v>
      </c>
      <c r="F774" s="324">
        <v>121977.60000000001</v>
      </c>
      <c r="H774" s="324">
        <v>0</v>
      </c>
      <c r="J774" s="324">
        <v>388375.77</v>
      </c>
      <c r="K774" s="321">
        <f t="shared" si="12"/>
        <v>121977.60000000003</v>
      </c>
    </row>
    <row r="775" spans="1:11" ht="15.95" customHeight="1" x14ac:dyDescent="0.2">
      <c r="A775" s="323" t="s">
        <v>1345</v>
      </c>
      <c r="B775" s="373" t="s">
        <v>1346</v>
      </c>
      <c r="C775" s="374"/>
      <c r="D775" s="374"/>
      <c r="E775" s="324">
        <v>18351.73</v>
      </c>
      <c r="F775" s="324">
        <v>10027.959999999999</v>
      </c>
      <c r="H775" s="324">
        <v>0</v>
      </c>
      <c r="J775" s="324">
        <v>28379.69</v>
      </c>
      <c r="K775" s="321">
        <f t="shared" si="12"/>
        <v>10027.959999999999</v>
      </c>
    </row>
    <row r="776" spans="1:11" ht="15.95" customHeight="1" x14ac:dyDescent="0.2">
      <c r="A776" s="323" t="s">
        <v>1347</v>
      </c>
      <c r="B776" s="373" t="s">
        <v>1348</v>
      </c>
      <c r="C776" s="374"/>
      <c r="D776" s="374"/>
      <c r="E776" s="324">
        <v>10908.61</v>
      </c>
      <c r="F776" s="324">
        <v>5971.2</v>
      </c>
      <c r="H776" s="324">
        <v>0</v>
      </c>
      <c r="J776" s="324">
        <v>16879.810000000001</v>
      </c>
      <c r="K776" s="321">
        <f t="shared" si="12"/>
        <v>5971.2000000000007</v>
      </c>
    </row>
    <row r="777" spans="1:11" ht="15.95" customHeight="1" x14ac:dyDescent="0.2">
      <c r="A777" s="323" t="s">
        <v>1567</v>
      </c>
      <c r="B777" s="373" t="s">
        <v>1241</v>
      </c>
      <c r="C777" s="374"/>
      <c r="D777" s="374"/>
      <c r="E777" s="324">
        <v>904.17</v>
      </c>
      <c r="F777" s="324">
        <v>0</v>
      </c>
      <c r="H777" s="324">
        <v>0</v>
      </c>
      <c r="J777" s="324">
        <v>904.17</v>
      </c>
      <c r="K777" s="321">
        <f t="shared" si="12"/>
        <v>0</v>
      </c>
    </row>
    <row r="778" spans="1:11" ht="15.95" customHeight="1" x14ac:dyDescent="0.2">
      <c r="A778" s="323" t="s">
        <v>1568</v>
      </c>
      <c r="B778" s="373" t="s">
        <v>1569</v>
      </c>
      <c r="C778" s="374"/>
      <c r="D778" s="374"/>
      <c r="E778" s="324">
        <v>35169.53</v>
      </c>
      <c r="F778" s="324">
        <v>0</v>
      </c>
      <c r="H778" s="324">
        <v>0</v>
      </c>
      <c r="J778" s="324">
        <v>35169.53</v>
      </c>
      <c r="K778" s="321">
        <f t="shared" si="12"/>
        <v>0</v>
      </c>
    </row>
    <row r="779" spans="1:11" ht="15.95" customHeight="1" x14ac:dyDescent="0.2">
      <c r="A779" s="323" t="s">
        <v>1349</v>
      </c>
      <c r="B779" s="373" t="s">
        <v>1243</v>
      </c>
      <c r="C779" s="374"/>
      <c r="D779" s="374"/>
      <c r="E779" s="324">
        <v>5625</v>
      </c>
      <c r="F779" s="324">
        <v>3325</v>
      </c>
      <c r="H779" s="324">
        <v>0</v>
      </c>
      <c r="J779" s="324">
        <v>8950</v>
      </c>
      <c r="K779" s="321">
        <f t="shared" si="12"/>
        <v>3325</v>
      </c>
    </row>
    <row r="780" spans="1:11" ht="15.95" customHeight="1" x14ac:dyDescent="0.2">
      <c r="A780" s="323" t="s">
        <v>1570</v>
      </c>
      <c r="B780" s="373" t="s">
        <v>1571</v>
      </c>
      <c r="C780" s="374"/>
      <c r="D780" s="374"/>
      <c r="E780" s="324">
        <v>10336.629999999999</v>
      </c>
      <c r="F780" s="324">
        <v>0</v>
      </c>
      <c r="H780" s="324">
        <v>0</v>
      </c>
      <c r="J780" s="324">
        <v>10336.629999999999</v>
      </c>
      <c r="K780" s="321">
        <f t="shared" si="12"/>
        <v>0</v>
      </c>
    </row>
    <row r="781" spans="1:11" ht="15.95" customHeight="1" x14ac:dyDescent="0.2">
      <c r="A781" s="323" t="s">
        <v>1350</v>
      </c>
      <c r="B781" s="373" t="s">
        <v>1351</v>
      </c>
      <c r="C781" s="374"/>
      <c r="D781" s="374"/>
      <c r="E781" s="324">
        <v>6323.21</v>
      </c>
      <c r="F781" s="324">
        <v>1258.8499999999999</v>
      </c>
      <c r="H781" s="324">
        <v>0</v>
      </c>
      <c r="J781" s="324">
        <v>7582.06</v>
      </c>
      <c r="K781" s="321">
        <f t="shared" si="12"/>
        <v>1258.8500000000004</v>
      </c>
    </row>
    <row r="782" spans="1:11" ht="15.95" customHeight="1" x14ac:dyDescent="0.2">
      <c r="A782" s="323" t="s">
        <v>1352</v>
      </c>
      <c r="B782" s="373" t="s">
        <v>1353</v>
      </c>
      <c r="C782" s="374"/>
      <c r="D782" s="374"/>
      <c r="E782" s="324">
        <v>74.38</v>
      </c>
      <c r="F782" s="324">
        <v>171.96</v>
      </c>
      <c r="H782" s="324">
        <v>0</v>
      </c>
      <c r="J782" s="324">
        <v>246.34</v>
      </c>
      <c r="K782" s="321">
        <f t="shared" si="12"/>
        <v>171.96</v>
      </c>
    </row>
    <row r="783" spans="1:11" ht="15.95" customHeight="1" x14ac:dyDescent="0.2">
      <c r="A783" s="323" t="s">
        <v>1354</v>
      </c>
      <c r="B783" s="373" t="s">
        <v>1355</v>
      </c>
      <c r="C783" s="374"/>
      <c r="D783" s="374"/>
      <c r="E783" s="324">
        <v>92221.77</v>
      </c>
      <c r="F783" s="324">
        <v>5213.1099999999997</v>
      </c>
      <c r="H783" s="324">
        <v>0</v>
      </c>
      <c r="J783" s="324">
        <v>97434.880000000005</v>
      </c>
      <c r="K783" s="321">
        <f t="shared" si="12"/>
        <v>5213.1100000000006</v>
      </c>
    </row>
    <row r="784" spans="1:11" ht="15.95" customHeight="1" x14ac:dyDescent="0.2">
      <c r="A784" s="323" t="s">
        <v>1572</v>
      </c>
      <c r="B784" s="373" t="s">
        <v>1573</v>
      </c>
      <c r="C784" s="374"/>
      <c r="D784" s="374"/>
      <c r="E784" s="324">
        <v>198.71</v>
      </c>
      <c r="F784" s="324">
        <v>0</v>
      </c>
      <c r="H784" s="324">
        <v>0</v>
      </c>
      <c r="J784" s="324">
        <v>198.71</v>
      </c>
      <c r="K784" s="321">
        <f t="shared" si="12"/>
        <v>0</v>
      </c>
    </row>
    <row r="785" spans="1:11" ht="15.95" customHeight="1" x14ac:dyDescent="0.2">
      <c r="A785" s="323" t="s">
        <v>1356</v>
      </c>
      <c r="B785" s="373" t="s">
        <v>200</v>
      </c>
      <c r="C785" s="374"/>
      <c r="D785" s="374"/>
      <c r="E785" s="324">
        <v>96642</v>
      </c>
      <c r="F785" s="324">
        <v>48321</v>
      </c>
      <c r="H785" s="324">
        <v>0</v>
      </c>
      <c r="J785" s="324">
        <v>144963</v>
      </c>
      <c r="K785" s="321">
        <f t="shared" si="12"/>
        <v>48321</v>
      </c>
    </row>
    <row r="786" spans="1:11" ht="15.95" customHeight="1" x14ac:dyDescent="0.2">
      <c r="A786" s="323" t="s">
        <v>1357</v>
      </c>
      <c r="B786" s="373" t="s">
        <v>1358</v>
      </c>
      <c r="C786" s="374"/>
      <c r="D786" s="374"/>
      <c r="E786" s="324">
        <v>152008.9</v>
      </c>
      <c r="F786" s="324">
        <v>72775.41</v>
      </c>
      <c r="H786" s="324">
        <v>0</v>
      </c>
      <c r="J786" s="324">
        <v>224784.31</v>
      </c>
      <c r="K786" s="321">
        <f t="shared" si="12"/>
        <v>72775.41</v>
      </c>
    </row>
    <row r="787" spans="1:11" ht="15.95" customHeight="1" x14ac:dyDescent="0.2">
      <c r="A787" s="323" t="s">
        <v>1359</v>
      </c>
      <c r="B787" s="373" t="s">
        <v>1360</v>
      </c>
      <c r="C787" s="374"/>
      <c r="D787" s="374"/>
      <c r="E787" s="324">
        <v>11564.09</v>
      </c>
      <c r="F787" s="324">
        <v>4511.59</v>
      </c>
      <c r="H787" s="324">
        <v>0</v>
      </c>
      <c r="J787" s="324">
        <v>16075.68</v>
      </c>
      <c r="K787" s="321">
        <f t="shared" si="12"/>
        <v>4511.59</v>
      </c>
    </row>
    <row r="788" spans="1:11" ht="15.95" customHeight="1" x14ac:dyDescent="0.2">
      <c r="A788" s="325" t="s">
        <v>1361</v>
      </c>
      <c r="B788" s="375" t="s">
        <v>1362</v>
      </c>
      <c r="C788" s="376"/>
      <c r="D788" s="376"/>
      <c r="E788" s="326">
        <v>1131947.8899999999</v>
      </c>
      <c r="F788" s="326">
        <v>941991.37</v>
      </c>
      <c r="G788" s="327"/>
      <c r="H788" s="326">
        <v>0</v>
      </c>
      <c r="I788" s="327"/>
      <c r="J788" s="326">
        <v>2073939.26</v>
      </c>
      <c r="K788" s="327">
        <f t="shared" si="12"/>
        <v>941991.37000000011</v>
      </c>
    </row>
    <row r="789" spans="1:11" ht="15.95" customHeight="1" x14ac:dyDescent="0.2">
      <c r="A789" s="325" t="s">
        <v>1363</v>
      </c>
      <c r="B789" s="375" t="s">
        <v>1364</v>
      </c>
      <c r="C789" s="376"/>
      <c r="D789" s="376"/>
      <c r="E789" s="326">
        <v>628297.85</v>
      </c>
      <c r="F789" s="326">
        <v>313690.5</v>
      </c>
      <c r="G789" s="327"/>
      <c r="H789" s="326">
        <v>0</v>
      </c>
      <c r="I789" s="327"/>
      <c r="J789" s="326">
        <v>941988.35</v>
      </c>
      <c r="K789" s="327">
        <f t="shared" si="12"/>
        <v>313690.5</v>
      </c>
    </row>
    <row r="790" spans="1:11" ht="15.95" customHeight="1" x14ac:dyDescent="0.2">
      <c r="A790" s="323" t="s">
        <v>1365</v>
      </c>
      <c r="B790" s="373" t="s">
        <v>1366</v>
      </c>
      <c r="C790" s="374"/>
      <c r="D790" s="374"/>
      <c r="E790" s="324">
        <v>12565.32</v>
      </c>
      <c r="F790" s="324">
        <v>3415.98</v>
      </c>
      <c r="H790" s="324">
        <v>0</v>
      </c>
      <c r="J790" s="324">
        <v>15981.3</v>
      </c>
      <c r="K790" s="321">
        <f t="shared" si="12"/>
        <v>3415.9799999999996</v>
      </c>
    </row>
    <row r="791" spans="1:11" ht="15.95" customHeight="1" x14ac:dyDescent="0.2">
      <c r="A791" s="323" t="s">
        <v>1367</v>
      </c>
      <c r="B791" s="373" t="s">
        <v>1368</v>
      </c>
      <c r="C791" s="374"/>
      <c r="D791" s="374"/>
      <c r="E791" s="324">
        <v>22482.48</v>
      </c>
      <c r="F791" s="324">
        <v>11277.78</v>
      </c>
      <c r="H791" s="324">
        <v>0</v>
      </c>
      <c r="J791" s="324">
        <v>33760.26</v>
      </c>
      <c r="K791" s="321">
        <f t="shared" si="12"/>
        <v>11277.780000000002</v>
      </c>
    </row>
    <row r="792" spans="1:11" ht="15.95" customHeight="1" x14ac:dyDescent="0.2">
      <c r="A792" s="323" t="s">
        <v>1369</v>
      </c>
      <c r="B792" s="373" t="s">
        <v>1370</v>
      </c>
      <c r="C792" s="374"/>
      <c r="D792" s="374"/>
      <c r="E792" s="324">
        <v>84</v>
      </c>
      <c r="F792" s="324">
        <v>20.5</v>
      </c>
      <c r="H792" s="324">
        <v>0</v>
      </c>
      <c r="J792" s="324">
        <v>104.5</v>
      </c>
      <c r="K792" s="321">
        <f t="shared" si="12"/>
        <v>20.5</v>
      </c>
    </row>
    <row r="793" spans="1:11" ht="15.95" customHeight="1" x14ac:dyDescent="0.2">
      <c r="A793" s="323" t="s">
        <v>1371</v>
      </c>
      <c r="B793" s="373" t="s">
        <v>1372</v>
      </c>
      <c r="C793" s="374"/>
      <c r="D793" s="374"/>
      <c r="E793" s="324">
        <v>6776.8</v>
      </c>
      <c r="F793" s="324">
        <v>202.7</v>
      </c>
      <c r="H793" s="324">
        <v>0</v>
      </c>
      <c r="J793" s="324">
        <v>6979.5</v>
      </c>
      <c r="K793" s="321">
        <f t="shared" si="12"/>
        <v>202.69999999999982</v>
      </c>
    </row>
    <row r="794" spans="1:11" ht="15.95" customHeight="1" x14ac:dyDescent="0.2">
      <c r="A794" s="323" t="s">
        <v>1373</v>
      </c>
      <c r="B794" s="373" t="s">
        <v>202</v>
      </c>
      <c r="C794" s="374"/>
      <c r="D794" s="374"/>
      <c r="E794" s="324">
        <v>46352.14</v>
      </c>
      <c r="F794" s="324">
        <v>20014.84</v>
      </c>
      <c r="H794" s="324">
        <v>0</v>
      </c>
      <c r="J794" s="324">
        <v>66366.98</v>
      </c>
      <c r="K794" s="321">
        <f t="shared" si="12"/>
        <v>20014.839999999997</v>
      </c>
    </row>
    <row r="795" spans="1:11" ht="15.95" customHeight="1" x14ac:dyDescent="0.2">
      <c r="A795" s="323" t="s">
        <v>1871</v>
      </c>
      <c r="B795" s="373" t="s">
        <v>1872</v>
      </c>
      <c r="C795" s="374"/>
      <c r="D795" s="374"/>
      <c r="E795" s="324">
        <v>0</v>
      </c>
      <c r="F795" s="324">
        <v>1215.3900000000001</v>
      </c>
      <c r="H795" s="324">
        <v>0</v>
      </c>
      <c r="J795" s="324">
        <v>1215.3900000000001</v>
      </c>
      <c r="K795" s="321">
        <f t="shared" si="12"/>
        <v>1215.3900000000001</v>
      </c>
    </row>
    <row r="796" spans="1:11" ht="15.95" customHeight="1" x14ac:dyDescent="0.2">
      <c r="A796" s="323" t="s">
        <v>1374</v>
      </c>
      <c r="B796" s="373" t="s">
        <v>1375</v>
      </c>
      <c r="C796" s="374"/>
      <c r="D796" s="374"/>
      <c r="E796" s="324">
        <v>26204.37</v>
      </c>
      <c r="F796" s="324">
        <v>3004.14</v>
      </c>
      <c r="H796" s="324">
        <v>0</v>
      </c>
      <c r="J796" s="324">
        <v>29208.51</v>
      </c>
      <c r="K796" s="321">
        <f t="shared" si="12"/>
        <v>3004.1399999999994</v>
      </c>
    </row>
    <row r="797" spans="1:11" ht="15.95" customHeight="1" x14ac:dyDescent="0.2">
      <c r="A797" s="323" t="s">
        <v>1898</v>
      </c>
      <c r="B797" s="373" t="s">
        <v>1899</v>
      </c>
      <c r="C797" s="374"/>
      <c r="D797" s="374"/>
      <c r="E797" s="324">
        <v>0</v>
      </c>
      <c r="F797" s="324">
        <v>0</v>
      </c>
      <c r="H797" s="324">
        <v>12670.33</v>
      </c>
      <c r="J797" s="324">
        <v>-12670.33</v>
      </c>
      <c r="K797" s="321">
        <f t="shared" si="12"/>
        <v>-12670.33</v>
      </c>
    </row>
    <row r="798" spans="1:11" ht="15.95" customHeight="1" x14ac:dyDescent="0.2">
      <c r="A798" s="323" t="s">
        <v>1900</v>
      </c>
      <c r="B798" s="373" t="s">
        <v>1901</v>
      </c>
      <c r="C798" s="374"/>
      <c r="D798" s="374"/>
      <c r="E798" s="324">
        <v>0</v>
      </c>
      <c r="F798" s="324">
        <v>634.05999999999995</v>
      </c>
      <c r="H798" s="324">
        <v>0</v>
      </c>
      <c r="J798" s="324">
        <v>634.05999999999995</v>
      </c>
      <c r="K798" s="321">
        <f t="shared" si="12"/>
        <v>634.05999999999995</v>
      </c>
    </row>
    <row r="799" spans="1:11" ht="15.95" customHeight="1" x14ac:dyDescent="0.2">
      <c r="A799" s="323" t="s">
        <v>1376</v>
      </c>
      <c r="B799" s="373" t="s">
        <v>1377</v>
      </c>
      <c r="C799" s="374"/>
      <c r="D799" s="374"/>
      <c r="E799" s="324">
        <v>394</v>
      </c>
      <c r="F799" s="324">
        <v>419</v>
      </c>
      <c r="H799" s="324">
        <v>0</v>
      </c>
      <c r="J799" s="324">
        <v>813</v>
      </c>
      <c r="K799" s="321">
        <f t="shared" si="12"/>
        <v>419</v>
      </c>
    </row>
    <row r="800" spans="1:11" ht="15.95" customHeight="1" x14ac:dyDescent="0.2">
      <c r="A800" s="323">
        <v>59</v>
      </c>
      <c r="B800" s="373" t="s">
        <v>1378</v>
      </c>
      <c r="C800" s="374"/>
      <c r="D800" s="374"/>
      <c r="E800" s="324">
        <v>1675975.98</v>
      </c>
      <c r="F800" s="324">
        <v>1066353.28</v>
      </c>
      <c r="H800" s="324">
        <v>103934.04</v>
      </c>
      <c r="J800" s="324">
        <v>2638395.2200000002</v>
      </c>
      <c r="K800" s="321">
        <f t="shared" si="12"/>
        <v>962419.24000000022</v>
      </c>
    </row>
    <row r="801" spans="1:11" ht="15.95" customHeight="1" x14ac:dyDescent="0.2">
      <c r="A801" s="323">
        <v>591</v>
      </c>
      <c r="B801" s="373" t="s">
        <v>1379</v>
      </c>
      <c r="C801" s="374"/>
      <c r="D801" s="374"/>
      <c r="E801" s="324">
        <v>1675975.98</v>
      </c>
      <c r="F801" s="324">
        <v>1066353.28</v>
      </c>
      <c r="H801" s="324">
        <v>103934.04</v>
      </c>
      <c r="J801" s="324">
        <v>2638395.2200000002</v>
      </c>
      <c r="K801" s="321">
        <f t="shared" si="12"/>
        <v>962419.24000000022</v>
      </c>
    </row>
    <row r="802" spans="1:11" ht="15.95" customHeight="1" x14ac:dyDescent="0.2">
      <c r="A802" s="323">
        <v>59101</v>
      </c>
      <c r="B802" s="373" t="s">
        <v>1380</v>
      </c>
      <c r="C802" s="374"/>
      <c r="D802" s="374"/>
      <c r="E802" s="324">
        <v>1949585.44</v>
      </c>
      <c r="F802" s="324">
        <v>1066353.28</v>
      </c>
      <c r="H802" s="324">
        <v>176.44</v>
      </c>
      <c r="J802" s="324">
        <v>3015762.28</v>
      </c>
      <c r="K802" s="321">
        <f t="shared" si="12"/>
        <v>1066176.8399999999</v>
      </c>
    </row>
    <row r="803" spans="1:11" ht="15.95" customHeight="1" x14ac:dyDescent="0.2">
      <c r="A803" s="323">
        <v>5910101</v>
      </c>
      <c r="B803" s="373" t="s">
        <v>1380</v>
      </c>
      <c r="C803" s="374"/>
      <c r="D803" s="374"/>
      <c r="E803" s="324">
        <v>1949585.44</v>
      </c>
      <c r="F803" s="324">
        <v>1066353.28</v>
      </c>
      <c r="H803" s="324">
        <v>176.44</v>
      </c>
      <c r="J803" s="324">
        <v>3015762.28</v>
      </c>
      <c r="K803" s="321">
        <f t="shared" si="12"/>
        <v>1066176.8399999999</v>
      </c>
    </row>
    <row r="804" spans="1:11" ht="15.95" customHeight="1" x14ac:dyDescent="0.2">
      <c r="A804" s="323" t="s">
        <v>1383</v>
      </c>
      <c r="B804" s="373" t="s">
        <v>1384</v>
      </c>
      <c r="C804" s="374"/>
      <c r="D804" s="374"/>
      <c r="E804" s="324">
        <v>215724.78</v>
      </c>
      <c r="F804" s="324">
        <v>106191.65</v>
      </c>
      <c r="H804" s="324">
        <v>0</v>
      </c>
      <c r="J804" s="324">
        <v>321916.43</v>
      </c>
      <c r="K804" s="321">
        <f t="shared" si="12"/>
        <v>106191.65</v>
      </c>
    </row>
    <row r="805" spans="1:11" ht="15.95" customHeight="1" x14ac:dyDescent="0.2">
      <c r="A805" s="323" t="s">
        <v>1385</v>
      </c>
      <c r="B805" s="373" t="s">
        <v>1386</v>
      </c>
      <c r="C805" s="374"/>
      <c r="D805" s="374"/>
      <c r="E805" s="324">
        <v>132902.42000000001</v>
      </c>
      <c r="F805" s="324">
        <v>124056.14</v>
      </c>
      <c r="H805" s="324">
        <v>88.8</v>
      </c>
      <c r="J805" s="324">
        <v>256869.76000000001</v>
      </c>
      <c r="K805" s="321">
        <f t="shared" si="12"/>
        <v>123967.34</v>
      </c>
    </row>
    <row r="806" spans="1:11" ht="15.95" customHeight="1" x14ac:dyDescent="0.2">
      <c r="A806" s="323" t="s">
        <v>1387</v>
      </c>
      <c r="B806" s="373" t="s">
        <v>1388</v>
      </c>
      <c r="C806" s="374"/>
      <c r="D806" s="374"/>
      <c r="E806" s="324">
        <v>11928.01</v>
      </c>
      <c r="F806" s="324">
        <v>6994.95</v>
      </c>
      <c r="H806" s="324">
        <v>0</v>
      </c>
      <c r="J806" s="324">
        <v>18922.96</v>
      </c>
      <c r="K806" s="321">
        <f t="shared" si="12"/>
        <v>6994.9499999999989</v>
      </c>
    </row>
    <row r="807" spans="1:11" ht="15.95" customHeight="1" x14ac:dyDescent="0.2">
      <c r="A807" s="323" t="s">
        <v>1389</v>
      </c>
      <c r="B807" s="373" t="s">
        <v>1390</v>
      </c>
      <c r="C807" s="374"/>
      <c r="D807" s="374"/>
      <c r="E807" s="324">
        <v>1586034.23</v>
      </c>
      <c r="F807" s="324">
        <v>828234.95</v>
      </c>
      <c r="H807" s="324">
        <v>87.64</v>
      </c>
      <c r="J807" s="324">
        <v>2414181.54</v>
      </c>
      <c r="K807" s="321">
        <f t="shared" si="12"/>
        <v>828147.31</v>
      </c>
    </row>
    <row r="808" spans="1:11" ht="15.95" customHeight="1" x14ac:dyDescent="0.2">
      <c r="A808" s="323" t="s">
        <v>1631</v>
      </c>
      <c r="B808" s="373" t="s">
        <v>1632</v>
      </c>
      <c r="C808" s="374"/>
      <c r="D808" s="374"/>
      <c r="E808" s="324">
        <v>2996</v>
      </c>
      <c r="F808" s="324">
        <v>875.59</v>
      </c>
      <c r="H808" s="324">
        <v>0</v>
      </c>
      <c r="J808" s="324">
        <v>3871.59</v>
      </c>
      <c r="K808" s="321">
        <f t="shared" si="12"/>
        <v>875.59000000000015</v>
      </c>
    </row>
    <row r="809" spans="1:11" ht="15.95" customHeight="1" x14ac:dyDescent="0.2">
      <c r="A809" s="323">
        <v>59102</v>
      </c>
      <c r="B809" s="373" t="s">
        <v>1391</v>
      </c>
      <c r="C809" s="374"/>
      <c r="D809" s="374"/>
      <c r="E809" s="324">
        <v>-273609.46000000002</v>
      </c>
      <c r="F809" s="324">
        <v>0</v>
      </c>
      <c r="H809" s="324">
        <v>103757.6</v>
      </c>
      <c r="J809" s="324">
        <v>-377367.06</v>
      </c>
      <c r="K809" s="321">
        <f t="shared" si="12"/>
        <v>-103757.59999999998</v>
      </c>
    </row>
    <row r="810" spans="1:11" ht="15.95" customHeight="1" x14ac:dyDescent="0.2">
      <c r="A810" s="323">
        <v>5910201</v>
      </c>
      <c r="B810" s="373" t="s">
        <v>1391</v>
      </c>
      <c r="C810" s="374"/>
      <c r="D810" s="374"/>
      <c r="E810" s="324">
        <v>-273609.46000000002</v>
      </c>
      <c r="F810" s="324">
        <v>0</v>
      </c>
      <c r="H810" s="324">
        <v>103757.6</v>
      </c>
      <c r="J810" s="324">
        <v>-377367.06</v>
      </c>
      <c r="K810" s="321">
        <f t="shared" si="12"/>
        <v>-103757.59999999998</v>
      </c>
    </row>
    <row r="811" spans="1:11" ht="27.95" customHeight="1" x14ac:dyDescent="0.2">
      <c r="A811" s="323" t="s">
        <v>1574</v>
      </c>
      <c r="B811" s="373" t="s">
        <v>1575</v>
      </c>
      <c r="C811" s="374"/>
      <c r="D811" s="374"/>
      <c r="E811" s="324">
        <v>-72.010000000000005</v>
      </c>
      <c r="F811" s="324">
        <v>0</v>
      </c>
      <c r="H811" s="324">
        <v>2941.89</v>
      </c>
      <c r="J811" s="324">
        <v>-3013.9</v>
      </c>
      <c r="K811" s="321">
        <f t="shared" si="12"/>
        <v>-2941.89</v>
      </c>
    </row>
    <row r="812" spans="1:11" ht="15.95" customHeight="1" x14ac:dyDescent="0.2">
      <c r="A812" s="323" t="s">
        <v>1392</v>
      </c>
      <c r="B812" s="373" t="s">
        <v>1393</v>
      </c>
      <c r="C812" s="374"/>
      <c r="D812" s="374"/>
      <c r="E812" s="324">
        <v>-192128.17</v>
      </c>
      <c r="F812" s="324">
        <v>0</v>
      </c>
      <c r="H812" s="324">
        <v>32452.959999999999</v>
      </c>
      <c r="J812" s="324">
        <v>-224581.13</v>
      </c>
      <c r="K812" s="321">
        <f t="shared" si="12"/>
        <v>-32452.959999999992</v>
      </c>
    </row>
    <row r="813" spans="1:11" ht="15.95" customHeight="1" x14ac:dyDescent="0.2">
      <c r="A813" s="323" t="s">
        <v>1576</v>
      </c>
      <c r="B813" s="373" t="s">
        <v>1577</v>
      </c>
      <c r="C813" s="374"/>
      <c r="D813" s="374"/>
      <c r="E813" s="324">
        <v>-938.87</v>
      </c>
      <c r="F813" s="324">
        <v>0</v>
      </c>
      <c r="H813" s="324">
        <v>2400.98</v>
      </c>
      <c r="J813" s="324">
        <v>-3339.85</v>
      </c>
      <c r="K813" s="321">
        <f t="shared" si="12"/>
        <v>-2400.98</v>
      </c>
    </row>
    <row r="814" spans="1:11" ht="15.95" customHeight="1" x14ac:dyDescent="0.2">
      <c r="A814" s="323" t="s">
        <v>1394</v>
      </c>
      <c r="B814" s="373" t="s">
        <v>1395</v>
      </c>
      <c r="C814" s="374"/>
      <c r="D814" s="374"/>
      <c r="E814" s="324">
        <v>-65333.75</v>
      </c>
      <c r="F814" s="324">
        <v>0</v>
      </c>
      <c r="H814" s="324">
        <v>19676.63</v>
      </c>
      <c r="J814" s="324">
        <v>-85010.38</v>
      </c>
      <c r="K814" s="321">
        <f t="shared" si="12"/>
        <v>-19676.630000000005</v>
      </c>
    </row>
    <row r="815" spans="1:11" ht="15.95" customHeight="1" x14ac:dyDescent="0.2">
      <c r="A815" s="323" t="s">
        <v>1396</v>
      </c>
      <c r="B815" s="373" t="s">
        <v>1397</v>
      </c>
      <c r="C815" s="374"/>
      <c r="D815" s="374"/>
      <c r="E815" s="324">
        <v>-14402.04</v>
      </c>
      <c r="F815" s="324">
        <v>0</v>
      </c>
      <c r="H815" s="324">
        <v>8.33</v>
      </c>
      <c r="J815" s="324">
        <v>-14410.37</v>
      </c>
      <c r="K815" s="321">
        <f t="shared" si="12"/>
        <v>-8.3299999999999272</v>
      </c>
    </row>
    <row r="816" spans="1:11" ht="15.95" customHeight="1" x14ac:dyDescent="0.2">
      <c r="A816" s="323" t="s">
        <v>1398</v>
      </c>
      <c r="B816" s="373" t="s">
        <v>1399</v>
      </c>
      <c r="C816" s="374"/>
      <c r="D816" s="374"/>
      <c r="E816" s="324">
        <v>0</v>
      </c>
      <c r="F816" s="324">
        <v>0</v>
      </c>
      <c r="H816" s="324">
        <v>46276.81</v>
      </c>
      <c r="J816" s="324">
        <v>-46276.81</v>
      </c>
      <c r="K816" s="321">
        <f t="shared" si="12"/>
        <v>-46276.81</v>
      </c>
    </row>
    <row r="817" spans="1:11" ht="15.95" customHeight="1" x14ac:dyDescent="0.2">
      <c r="A817" s="323" t="s">
        <v>1578</v>
      </c>
      <c r="B817" s="373" t="s">
        <v>1579</v>
      </c>
      <c r="C817" s="374"/>
      <c r="D817" s="374"/>
      <c r="E817" s="324">
        <v>-734.62</v>
      </c>
      <c r="F817" s="324">
        <v>0</v>
      </c>
      <c r="H817" s="324">
        <v>0</v>
      </c>
      <c r="J817" s="324">
        <v>-734.62</v>
      </c>
      <c r="K817" s="321">
        <f t="shared" si="12"/>
        <v>0</v>
      </c>
    </row>
    <row r="818" spans="1:11" ht="15.95" customHeight="1" x14ac:dyDescent="0.2">
      <c r="A818" s="323">
        <v>6</v>
      </c>
      <c r="B818" s="373" t="s">
        <v>1400</v>
      </c>
      <c r="C818" s="374"/>
      <c r="D818" s="374"/>
      <c r="E818" s="324">
        <v>-245021.19</v>
      </c>
      <c r="F818" s="324">
        <v>279124.45</v>
      </c>
      <c r="H818" s="324">
        <v>96834.880000000005</v>
      </c>
      <c r="J818" s="324">
        <v>-62731.62</v>
      </c>
      <c r="K818" s="321">
        <f t="shared" si="12"/>
        <v>182289.57</v>
      </c>
    </row>
    <row r="819" spans="1:11" ht="15.95" customHeight="1" x14ac:dyDescent="0.2">
      <c r="A819" s="323">
        <v>62</v>
      </c>
      <c r="B819" s="373" t="s">
        <v>1401</v>
      </c>
      <c r="C819" s="374"/>
      <c r="D819" s="374"/>
      <c r="E819" s="324">
        <v>-245021.19</v>
      </c>
      <c r="F819" s="324">
        <v>279124.45</v>
      </c>
      <c r="H819" s="324">
        <v>96834.880000000005</v>
      </c>
      <c r="J819" s="324">
        <v>-62731.62</v>
      </c>
      <c r="K819" s="321">
        <f t="shared" si="12"/>
        <v>182289.57</v>
      </c>
    </row>
    <row r="820" spans="1:11" ht="15.95" customHeight="1" x14ac:dyDescent="0.2">
      <c r="A820" s="323">
        <v>621</v>
      </c>
      <c r="B820" s="373" t="s">
        <v>1402</v>
      </c>
      <c r="C820" s="374"/>
      <c r="D820" s="374"/>
      <c r="E820" s="324">
        <v>-256268.08</v>
      </c>
      <c r="F820" s="324">
        <v>0</v>
      </c>
      <c r="H820" s="324">
        <v>84670.43</v>
      </c>
      <c r="J820" s="324">
        <v>-340938.51</v>
      </c>
      <c r="K820" s="321">
        <f t="shared" si="12"/>
        <v>-84670.430000000022</v>
      </c>
    </row>
    <row r="821" spans="1:11" ht="15.95" customHeight="1" x14ac:dyDescent="0.2">
      <c r="A821" s="323">
        <v>62101</v>
      </c>
      <c r="B821" s="373" t="s">
        <v>1403</v>
      </c>
      <c r="C821" s="374"/>
      <c r="D821" s="374"/>
      <c r="E821" s="324">
        <v>-256268.08</v>
      </c>
      <c r="F821" s="324">
        <v>0</v>
      </c>
      <c r="H821" s="324">
        <v>84670.43</v>
      </c>
      <c r="J821" s="324">
        <v>-340938.51</v>
      </c>
      <c r="K821" s="321">
        <f t="shared" si="12"/>
        <v>-84670.430000000022</v>
      </c>
    </row>
    <row r="822" spans="1:11" ht="15.95" customHeight="1" x14ac:dyDescent="0.2">
      <c r="A822" s="323">
        <v>6210101</v>
      </c>
      <c r="B822" s="373" t="s">
        <v>1404</v>
      </c>
      <c r="C822" s="374"/>
      <c r="D822" s="374"/>
      <c r="E822" s="324">
        <v>-256268.08</v>
      </c>
      <c r="F822" s="324">
        <v>0</v>
      </c>
      <c r="H822" s="324">
        <v>84670.43</v>
      </c>
      <c r="J822" s="324">
        <v>-340938.51</v>
      </c>
      <c r="K822" s="321">
        <f t="shared" si="12"/>
        <v>-84670.430000000022</v>
      </c>
    </row>
    <row r="823" spans="1:11" ht="15.95" customHeight="1" x14ac:dyDescent="0.2">
      <c r="A823" s="323" t="s">
        <v>1405</v>
      </c>
      <c r="B823" s="373" t="s">
        <v>1406</v>
      </c>
      <c r="C823" s="374"/>
      <c r="D823" s="374"/>
      <c r="E823" s="324">
        <v>-25624.15</v>
      </c>
      <c r="F823" s="324">
        <v>0</v>
      </c>
      <c r="H823" s="324">
        <v>0</v>
      </c>
      <c r="J823" s="324">
        <v>-25624.15</v>
      </c>
      <c r="K823" s="321">
        <f t="shared" si="12"/>
        <v>0</v>
      </c>
    </row>
    <row r="824" spans="1:11" ht="15.95" customHeight="1" x14ac:dyDescent="0.2">
      <c r="A824" s="323" t="s">
        <v>1580</v>
      </c>
      <c r="B824" s="373" t="s">
        <v>1581</v>
      </c>
      <c r="C824" s="374"/>
      <c r="D824" s="374"/>
      <c r="E824" s="324">
        <v>-42706.09</v>
      </c>
      <c r="F824" s="324">
        <v>0</v>
      </c>
      <c r="H824" s="324">
        <v>39109.31</v>
      </c>
      <c r="J824" s="324">
        <v>-81815.399999999994</v>
      </c>
      <c r="K824" s="321">
        <f t="shared" si="12"/>
        <v>-39109.31</v>
      </c>
    </row>
    <row r="825" spans="1:11" ht="15.95" customHeight="1" x14ac:dyDescent="0.2">
      <c r="A825" s="323" t="s">
        <v>1407</v>
      </c>
      <c r="B825" s="373" t="s">
        <v>1403</v>
      </c>
      <c r="C825" s="374"/>
      <c r="D825" s="374"/>
      <c r="E825" s="324">
        <v>-142915.19</v>
      </c>
      <c r="F825" s="324">
        <v>0</v>
      </c>
      <c r="H825" s="324">
        <v>6986.81</v>
      </c>
      <c r="J825" s="324">
        <v>-149902</v>
      </c>
      <c r="K825" s="321">
        <f t="shared" si="12"/>
        <v>-6986.8099999999977</v>
      </c>
    </row>
    <row r="826" spans="1:11" ht="15.95" customHeight="1" x14ac:dyDescent="0.2">
      <c r="A826" s="323" t="s">
        <v>1582</v>
      </c>
      <c r="B826" s="373" t="s">
        <v>1583</v>
      </c>
      <c r="C826" s="374"/>
      <c r="D826" s="374"/>
      <c r="E826" s="324">
        <v>-45022.65</v>
      </c>
      <c r="F826" s="324">
        <v>0</v>
      </c>
      <c r="H826" s="324">
        <v>38574.31</v>
      </c>
      <c r="J826" s="324">
        <v>-83596.960000000006</v>
      </c>
      <c r="K826" s="321">
        <f t="shared" si="12"/>
        <v>-38574.310000000005</v>
      </c>
    </row>
    <row r="827" spans="1:11" ht="15.95" customHeight="1" x14ac:dyDescent="0.2">
      <c r="A827" s="323">
        <v>624</v>
      </c>
      <c r="B827" s="373" t="s">
        <v>1410</v>
      </c>
      <c r="C827" s="374"/>
      <c r="D827" s="374"/>
      <c r="E827" s="324">
        <v>-63191.03</v>
      </c>
      <c r="F827" s="324">
        <v>53774.91</v>
      </c>
      <c r="H827" s="324">
        <v>3550.24</v>
      </c>
      <c r="J827" s="324">
        <v>-12966.36</v>
      </c>
      <c r="K827" s="321">
        <f t="shared" si="12"/>
        <v>50224.67</v>
      </c>
    </row>
    <row r="828" spans="1:11" ht="15.95" customHeight="1" x14ac:dyDescent="0.2">
      <c r="A828" s="323">
        <v>62401</v>
      </c>
      <c r="B828" s="373" t="s">
        <v>1410</v>
      </c>
      <c r="C828" s="374"/>
      <c r="D828" s="374"/>
      <c r="E828" s="324">
        <v>-63191.03</v>
      </c>
      <c r="F828" s="324">
        <v>53774.91</v>
      </c>
      <c r="H828" s="324">
        <v>3550.24</v>
      </c>
      <c r="J828" s="324">
        <v>-12966.36</v>
      </c>
      <c r="K828" s="321">
        <f t="shared" si="12"/>
        <v>50224.67</v>
      </c>
    </row>
    <row r="829" spans="1:11" ht="15.95" customHeight="1" x14ac:dyDescent="0.2">
      <c r="A829" s="323">
        <v>6240101</v>
      </c>
      <c r="B829" s="373" t="s">
        <v>1410</v>
      </c>
      <c r="C829" s="374"/>
      <c r="D829" s="374"/>
      <c r="E829" s="324">
        <v>-63191.03</v>
      </c>
      <c r="F829" s="324">
        <v>53774.91</v>
      </c>
      <c r="H829" s="324">
        <v>3550.24</v>
      </c>
      <c r="J829" s="324">
        <v>-12966.36</v>
      </c>
      <c r="K829" s="321">
        <f t="shared" si="12"/>
        <v>50224.67</v>
      </c>
    </row>
    <row r="830" spans="1:11" ht="15.95" customHeight="1" x14ac:dyDescent="0.2">
      <c r="A830" s="323" t="s">
        <v>1902</v>
      </c>
      <c r="B830" s="373" t="s">
        <v>1903</v>
      </c>
      <c r="C830" s="374"/>
      <c r="D830" s="374"/>
      <c r="E830" s="324">
        <v>0</v>
      </c>
      <c r="F830" s="324">
        <v>9669.65</v>
      </c>
      <c r="H830" s="324">
        <v>0</v>
      </c>
      <c r="J830" s="324">
        <v>9669.65</v>
      </c>
      <c r="K830" s="321">
        <f t="shared" si="12"/>
        <v>9669.65</v>
      </c>
    </row>
    <row r="831" spans="1:11" ht="15.95" customHeight="1" x14ac:dyDescent="0.2">
      <c r="A831" s="323" t="s">
        <v>1584</v>
      </c>
      <c r="B831" s="373" t="s">
        <v>1585</v>
      </c>
      <c r="C831" s="374"/>
      <c r="D831" s="374"/>
      <c r="E831" s="324">
        <v>-63191.03</v>
      </c>
      <c r="F831" s="324">
        <v>44105.26</v>
      </c>
      <c r="H831" s="324">
        <v>3550.24</v>
      </c>
      <c r="J831" s="324">
        <v>-22636.01</v>
      </c>
      <c r="K831" s="321">
        <f t="shared" si="12"/>
        <v>40555.020000000004</v>
      </c>
    </row>
    <row r="832" spans="1:11" ht="15.95" customHeight="1" x14ac:dyDescent="0.2">
      <c r="A832" s="323">
        <v>625</v>
      </c>
      <c r="B832" s="373" t="s">
        <v>1413</v>
      </c>
      <c r="C832" s="374"/>
      <c r="D832" s="374"/>
      <c r="E832" s="324">
        <v>74437.919999999998</v>
      </c>
      <c r="F832" s="324">
        <v>225349.54</v>
      </c>
      <c r="H832" s="324">
        <v>8614.2099999999991</v>
      </c>
      <c r="J832" s="324">
        <v>291173.25</v>
      </c>
      <c r="K832" s="321">
        <f t="shared" si="12"/>
        <v>216735.33000000002</v>
      </c>
    </row>
    <row r="833" spans="1:11" ht="15.95" customHeight="1" x14ac:dyDescent="0.2">
      <c r="A833" s="323">
        <v>62501</v>
      </c>
      <c r="B833" s="373" t="s">
        <v>1413</v>
      </c>
      <c r="C833" s="374"/>
      <c r="D833" s="374"/>
      <c r="E833" s="324">
        <v>74437.919999999998</v>
      </c>
      <c r="F833" s="324">
        <v>225349.54</v>
      </c>
      <c r="H833" s="324">
        <v>8614.2099999999991</v>
      </c>
      <c r="J833" s="324">
        <v>291173.25</v>
      </c>
      <c r="K833" s="321">
        <f t="shared" si="12"/>
        <v>216735.33000000002</v>
      </c>
    </row>
    <row r="834" spans="1:11" ht="15.95" customHeight="1" x14ac:dyDescent="0.2">
      <c r="A834" s="323">
        <v>6250101</v>
      </c>
      <c r="B834" s="373" t="s">
        <v>1414</v>
      </c>
      <c r="C834" s="374"/>
      <c r="D834" s="374"/>
      <c r="E834" s="324">
        <v>74437.919999999998</v>
      </c>
      <c r="F834" s="324">
        <v>225349.54</v>
      </c>
      <c r="H834" s="324">
        <v>8614.2099999999991</v>
      </c>
      <c r="J834" s="324">
        <v>291173.25</v>
      </c>
      <c r="K834" s="321">
        <f t="shared" si="12"/>
        <v>216735.33000000002</v>
      </c>
    </row>
    <row r="835" spans="1:11" ht="15.95" customHeight="1" x14ac:dyDescent="0.2">
      <c r="A835" s="323" t="s">
        <v>1415</v>
      </c>
      <c r="B835" s="373" t="s">
        <v>1416</v>
      </c>
      <c r="C835" s="374"/>
      <c r="D835" s="374"/>
      <c r="E835" s="324">
        <v>64707.95</v>
      </c>
      <c r="F835" s="324">
        <v>100000</v>
      </c>
      <c r="H835" s="324">
        <v>8614.2099999999991</v>
      </c>
      <c r="J835" s="324">
        <v>156093.74</v>
      </c>
      <c r="K835" s="321">
        <f t="shared" ref="K835:K848" si="13">J835-E835</f>
        <v>91385.79</v>
      </c>
    </row>
    <row r="836" spans="1:11" ht="15.95" customHeight="1" x14ac:dyDescent="0.2">
      <c r="A836" s="323" t="s">
        <v>1417</v>
      </c>
      <c r="B836" s="373" t="s">
        <v>1418</v>
      </c>
      <c r="C836" s="374"/>
      <c r="D836" s="374"/>
      <c r="E836" s="324">
        <v>9729.9699999999993</v>
      </c>
      <c r="F836" s="324">
        <v>125349.54</v>
      </c>
      <c r="H836" s="324">
        <v>0</v>
      </c>
      <c r="J836" s="324">
        <v>135079.51</v>
      </c>
      <c r="K836" s="321">
        <f t="shared" si="13"/>
        <v>125349.54000000001</v>
      </c>
    </row>
    <row r="837" spans="1:11" ht="15.95" customHeight="1" x14ac:dyDescent="0.2">
      <c r="A837" s="323">
        <v>7</v>
      </c>
      <c r="B837" s="373" t="s">
        <v>1586</v>
      </c>
      <c r="C837" s="374"/>
      <c r="D837" s="374"/>
      <c r="E837" s="324">
        <v>4550233.54</v>
      </c>
      <c r="F837" s="324">
        <v>0</v>
      </c>
      <c r="H837" s="324">
        <v>0</v>
      </c>
      <c r="J837" s="324">
        <v>4550233.54</v>
      </c>
      <c r="K837" s="321">
        <f t="shared" si="13"/>
        <v>0</v>
      </c>
    </row>
    <row r="838" spans="1:11" ht="15.95" customHeight="1" x14ac:dyDescent="0.2">
      <c r="A838" s="323">
        <v>71</v>
      </c>
      <c r="B838" s="373" t="s">
        <v>1586</v>
      </c>
      <c r="C838" s="374"/>
      <c r="D838" s="374"/>
      <c r="E838" s="324">
        <v>4550233.54</v>
      </c>
      <c r="F838" s="324">
        <v>0</v>
      </c>
      <c r="H838" s="324">
        <v>0</v>
      </c>
      <c r="J838" s="324">
        <v>4550233.54</v>
      </c>
      <c r="K838" s="321">
        <f t="shared" si="13"/>
        <v>0</v>
      </c>
    </row>
    <row r="839" spans="1:11" ht="15.95" customHeight="1" x14ac:dyDescent="0.2">
      <c r="A839" s="323">
        <v>712</v>
      </c>
      <c r="B839" s="373" t="s">
        <v>1587</v>
      </c>
      <c r="C839" s="374"/>
      <c r="D839" s="374"/>
      <c r="E839" s="324">
        <v>4550233.54</v>
      </c>
      <c r="F839" s="324">
        <v>0</v>
      </c>
      <c r="H839" s="324">
        <v>0</v>
      </c>
      <c r="J839" s="324">
        <v>4550233.54</v>
      </c>
      <c r="K839" s="321">
        <f t="shared" si="13"/>
        <v>0</v>
      </c>
    </row>
    <row r="840" spans="1:11" ht="15.95" customHeight="1" x14ac:dyDescent="0.2">
      <c r="A840" s="323">
        <v>71201</v>
      </c>
      <c r="B840" s="373" t="s">
        <v>1588</v>
      </c>
      <c r="C840" s="374"/>
      <c r="D840" s="374"/>
      <c r="E840" s="324">
        <v>4550233.54</v>
      </c>
      <c r="F840" s="324">
        <v>0</v>
      </c>
      <c r="H840" s="324">
        <v>0</v>
      </c>
      <c r="J840" s="324">
        <v>4550233.54</v>
      </c>
      <c r="K840" s="321">
        <f t="shared" si="13"/>
        <v>0</v>
      </c>
    </row>
    <row r="841" spans="1:11" ht="15.95" customHeight="1" x14ac:dyDescent="0.2">
      <c r="A841" s="323">
        <v>7120101</v>
      </c>
      <c r="B841" s="373" t="s">
        <v>1588</v>
      </c>
      <c r="C841" s="374"/>
      <c r="D841" s="374"/>
      <c r="E841" s="324">
        <v>4550233.54</v>
      </c>
      <c r="F841" s="324">
        <v>0</v>
      </c>
      <c r="H841" s="324">
        <v>0</v>
      </c>
      <c r="J841" s="324">
        <v>4550233.54</v>
      </c>
      <c r="K841" s="321">
        <f t="shared" si="13"/>
        <v>0</v>
      </c>
    </row>
    <row r="842" spans="1:11" ht="15.95" customHeight="1" x14ac:dyDescent="0.2">
      <c r="A842" s="323" t="s">
        <v>1589</v>
      </c>
      <c r="B842" s="373" t="s">
        <v>1590</v>
      </c>
      <c r="C842" s="374"/>
      <c r="D842" s="374"/>
      <c r="E842" s="324">
        <v>4550233.54</v>
      </c>
      <c r="F842" s="324">
        <v>0</v>
      </c>
      <c r="H842" s="324">
        <v>0</v>
      </c>
      <c r="J842" s="324">
        <v>4550233.54</v>
      </c>
      <c r="K842" s="321">
        <f t="shared" si="13"/>
        <v>0</v>
      </c>
    </row>
    <row r="843" spans="1:11" ht="15.95" customHeight="1" x14ac:dyDescent="0.2">
      <c r="A843" s="323">
        <v>9</v>
      </c>
      <c r="B843" s="373" t="s">
        <v>1419</v>
      </c>
      <c r="C843" s="374"/>
      <c r="D843" s="374"/>
      <c r="E843" s="324">
        <v>-16295158.73</v>
      </c>
      <c r="F843" s="324">
        <v>0</v>
      </c>
      <c r="H843" s="324">
        <v>8493289.8599999994</v>
      </c>
      <c r="J843" s="324">
        <v>-24788448.59</v>
      </c>
      <c r="K843" s="321">
        <f t="shared" si="13"/>
        <v>-8493289.8599999994</v>
      </c>
    </row>
    <row r="844" spans="1:11" ht="15.95" customHeight="1" x14ac:dyDescent="0.2">
      <c r="A844" s="323">
        <v>91</v>
      </c>
      <c r="B844" s="373" t="s">
        <v>1110</v>
      </c>
      <c r="C844" s="374"/>
      <c r="D844" s="374"/>
      <c r="E844" s="324">
        <v>-16295158.73</v>
      </c>
      <c r="F844" s="324">
        <v>0</v>
      </c>
      <c r="H844" s="324">
        <v>8493289.8599999994</v>
      </c>
      <c r="J844" s="324">
        <v>-24788448.59</v>
      </c>
      <c r="K844" s="321">
        <f t="shared" si="13"/>
        <v>-8493289.8599999994</v>
      </c>
    </row>
    <row r="845" spans="1:11" ht="15.95" customHeight="1" x14ac:dyDescent="0.2">
      <c r="A845" s="323">
        <v>911</v>
      </c>
      <c r="B845" s="373" t="s">
        <v>1421</v>
      </c>
      <c r="C845" s="374"/>
      <c r="D845" s="374"/>
      <c r="E845" s="324">
        <v>-16295158.73</v>
      </c>
      <c r="F845" s="324">
        <v>0</v>
      </c>
      <c r="H845" s="324">
        <v>8493289.8599999994</v>
      </c>
      <c r="J845" s="324">
        <v>-24788448.59</v>
      </c>
      <c r="K845" s="321">
        <f t="shared" si="13"/>
        <v>-8493289.8599999994</v>
      </c>
    </row>
    <row r="846" spans="1:11" ht="15.95" customHeight="1" x14ac:dyDescent="0.2">
      <c r="A846" s="323">
        <v>91101</v>
      </c>
      <c r="B846" s="373" t="s">
        <v>1110</v>
      </c>
      <c r="C846" s="374"/>
      <c r="D846" s="374"/>
      <c r="E846" s="324">
        <v>-16295158.73</v>
      </c>
      <c r="F846" s="324">
        <v>0</v>
      </c>
      <c r="H846" s="324">
        <v>8493289.8599999994</v>
      </c>
      <c r="J846" s="324">
        <v>-24788448.59</v>
      </c>
      <c r="K846" s="321">
        <f t="shared" si="13"/>
        <v>-8493289.8599999994</v>
      </c>
    </row>
    <row r="847" spans="1:11" ht="15.95" customHeight="1" x14ac:dyDescent="0.2">
      <c r="A847" s="323">
        <v>9110101</v>
      </c>
      <c r="B847" s="373" t="s">
        <v>1110</v>
      </c>
      <c r="C847" s="374"/>
      <c r="D847" s="374"/>
      <c r="E847" s="324">
        <v>-16295158.73</v>
      </c>
      <c r="F847" s="324">
        <v>0</v>
      </c>
      <c r="H847" s="324">
        <v>8493289.8599999994</v>
      </c>
      <c r="J847" s="324">
        <v>-24788448.59</v>
      </c>
      <c r="K847" s="321">
        <f t="shared" si="13"/>
        <v>-8493289.8599999994</v>
      </c>
    </row>
    <row r="848" spans="1:11" ht="17.100000000000001" customHeight="1" x14ac:dyDescent="0.2">
      <c r="A848" s="323" t="s">
        <v>1422</v>
      </c>
      <c r="B848" s="373" t="s">
        <v>1110</v>
      </c>
      <c r="C848" s="374"/>
      <c r="D848" s="374"/>
      <c r="E848" s="324">
        <v>-16295158.73</v>
      </c>
      <c r="F848" s="324">
        <v>0</v>
      </c>
      <c r="H848" s="324">
        <v>8493289.8599999994</v>
      </c>
      <c r="J848" s="324">
        <v>-24788448.59</v>
      </c>
      <c r="K848" s="321">
        <f t="shared" si="13"/>
        <v>-8493289.8599999994</v>
      </c>
    </row>
  </sheetData>
  <autoFilter ref="A1:K858"/>
  <mergeCells count="847">
    <mergeCell ref="B848:D848"/>
    <mergeCell ref="B842:D842"/>
    <mergeCell ref="B843:D843"/>
    <mergeCell ref="B844:D844"/>
    <mergeCell ref="B845:D845"/>
    <mergeCell ref="B846:D846"/>
    <mergeCell ref="B847:D847"/>
    <mergeCell ref="B836:D836"/>
    <mergeCell ref="B837:D837"/>
    <mergeCell ref="B838:D838"/>
    <mergeCell ref="B839:D839"/>
    <mergeCell ref="B840:D840"/>
    <mergeCell ref="B841:D841"/>
    <mergeCell ref="B830:D830"/>
    <mergeCell ref="B831:D831"/>
    <mergeCell ref="B832:D832"/>
    <mergeCell ref="B833:D833"/>
    <mergeCell ref="B834:D834"/>
    <mergeCell ref="B835:D835"/>
    <mergeCell ref="B824:D824"/>
    <mergeCell ref="B825:D825"/>
    <mergeCell ref="B826:D826"/>
    <mergeCell ref="B827:D827"/>
    <mergeCell ref="B828:D828"/>
    <mergeCell ref="B829:D829"/>
    <mergeCell ref="B818:D818"/>
    <mergeCell ref="B819:D819"/>
    <mergeCell ref="B820:D820"/>
    <mergeCell ref="B821:D821"/>
    <mergeCell ref="B822:D822"/>
    <mergeCell ref="B823:D823"/>
    <mergeCell ref="B812:D812"/>
    <mergeCell ref="B813:D813"/>
    <mergeCell ref="B814:D814"/>
    <mergeCell ref="B815:D815"/>
    <mergeCell ref="B816:D816"/>
    <mergeCell ref="B817:D817"/>
    <mergeCell ref="B806:D806"/>
    <mergeCell ref="B807:D807"/>
    <mergeCell ref="B808:D808"/>
    <mergeCell ref="B809:D809"/>
    <mergeCell ref="B810:D810"/>
    <mergeCell ref="B811:D811"/>
    <mergeCell ref="B800:D800"/>
    <mergeCell ref="B801:D801"/>
    <mergeCell ref="B802:D802"/>
    <mergeCell ref="B803:D803"/>
    <mergeCell ref="B804:D804"/>
    <mergeCell ref="B805:D805"/>
    <mergeCell ref="B794:D794"/>
    <mergeCell ref="B795:D795"/>
    <mergeCell ref="B796:D796"/>
    <mergeCell ref="B797:D797"/>
    <mergeCell ref="B798:D798"/>
    <mergeCell ref="B799:D799"/>
    <mergeCell ref="B788:D788"/>
    <mergeCell ref="B789:D789"/>
    <mergeCell ref="B790:D790"/>
    <mergeCell ref="B791:D791"/>
    <mergeCell ref="B792:D792"/>
    <mergeCell ref="B793:D793"/>
    <mergeCell ref="B782:D782"/>
    <mergeCell ref="B783:D783"/>
    <mergeCell ref="B784:D784"/>
    <mergeCell ref="B785:D785"/>
    <mergeCell ref="B786:D786"/>
    <mergeCell ref="B787:D787"/>
    <mergeCell ref="B776:D776"/>
    <mergeCell ref="B777:D777"/>
    <mergeCell ref="B778:D778"/>
    <mergeCell ref="B779:D779"/>
    <mergeCell ref="B780:D780"/>
    <mergeCell ref="B781:D781"/>
    <mergeCell ref="B770:D770"/>
    <mergeCell ref="B771:D771"/>
    <mergeCell ref="B772:D772"/>
    <mergeCell ref="B773:D773"/>
    <mergeCell ref="B774:D774"/>
    <mergeCell ref="B775:D775"/>
    <mergeCell ref="B764:D764"/>
    <mergeCell ref="B765:D765"/>
    <mergeCell ref="B766:D766"/>
    <mergeCell ref="B767:D767"/>
    <mergeCell ref="B768:D768"/>
    <mergeCell ref="B769:D769"/>
    <mergeCell ref="B758:D758"/>
    <mergeCell ref="B759:D759"/>
    <mergeCell ref="B760:D760"/>
    <mergeCell ref="B761:D761"/>
    <mergeCell ref="B762:D762"/>
    <mergeCell ref="B763:D763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4:D704"/>
    <mergeCell ref="B705:D705"/>
    <mergeCell ref="B706:D706"/>
    <mergeCell ref="B707:D707"/>
    <mergeCell ref="B708:D708"/>
    <mergeCell ref="B709:D709"/>
    <mergeCell ref="B698:D698"/>
    <mergeCell ref="B699:D699"/>
    <mergeCell ref="B700:D700"/>
    <mergeCell ref="B701:D701"/>
    <mergeCell ref="B702:D702"/>
    <mergeCell ref="B703:D703"/>
    <mergeCell ref="B692:D692"/>
    <mergeCell ref="B693:D693"/>
    <mergeCell ref="B694:D694"/>
    <mergeCell ref="B695:D695"/>
    <mergeCell ref="B696:D696"/>
    <mergeCell ref="B697:D697"/>
    <mergeCell ref="B686:D686"/>
    <mergeCell ref="B687:D687"/>
    <mergeCell ref="B688:D688"/>
    <mergeCell ref="B689:D689"/>
    <mergeCell ref="B690:D690"/>
    <mergeCell ref="B691:D691"/>
    <mergeCell ref="B680:D680"/>
    <mergeCell ref="B681:D681"/>
    <mergeCell ref="B682:D682"/>
    <mergeCell ref="B683:D683"/>
    <mergeCell ref="B684:D684"/>
    <mergeCell ref="B685:D685"/>
    <mergeCell ref="B674:D674"/>
    <mergeCell ref="B675:D675"/>
    <mergeCell ref="B676:D676"/>
    <mergeCell ref="B677:D677"/>
    <mergeCell ref="B678:D678"/>
    <mergeCell ref="B679:D679"/>
    <mergeCell ref="B668:D668"/>
    <mergeCell ref="B669:D669"/>
    <mergeCell ref="B670:D670"/>
    <mergeCell ref="B671:D671"/>
    <mergeCell ref="B672:D672"/>
    <mergeCell ref="B673:D673"/>
    <mergeCell ref="B662:D662"/>
    <mergeCell ref="B663:D663"/>
    <mergeCell ref="B664:D664"/>
    <mergeCell ref="B665:D665"/>
    <mergeCell ref="B666:D666"/>
    <mergeCell ref="B667:D667"/>
    <mergeCell ref="B656:D656"/>
    <mergeCell ref="B657:D657"/>
    <mergeCell ref="B658:D658"/>
    <mergeCell ref="B659:D659"/>
    <mergeCell ref="B660:D660"/>
    <mergeCell ref="B661:D661"/>
    <mergeCell ref="B650:D650"/>
    <mergeCell ref="B651:D651"/>
    <mergeCell ref="B652:D652"/>
    <mergeCell ref="B653:D653"/>
    <mergeCell ref="B654:D654"/>
    <mergeCell ref="B655:D655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08:D608"/>
    <mergeCell ref="B609:D609"/>
    <mergeCell ref="B610:D610"/>
    <mergeCell ref="B611:D611"/>
    <mergeCell ref="B612:D612"/>
    <mergeCell ref="B613:D613"/>
    <mergeCell ref="B602:D602"/>
    <mergeCell ref="B603:D603"/>
    <mergeCell ref="B604:D604"/>
    <mergeCell ref="B605:D605"/>
    <mergeCell ref="B606:D606"/>
    <mergeCell ref="B607:D607"/>
    <mergeCell ref="B596:D596"/>
    <mergeCell ref="B597:D597"/>
    <mergeCell ref="B598:D598"/>
    <mergeCell ref="B599:D599"/>
    <mergeCell ref="B600:D600"/>
    <mergeCell ref="B601:D601"/>
    <mergeCell ref="B590:D590"/>
    <mergeCell ref="B591:D591"/>
    <mergeCell ref="B592:D592"/>
    <mergeCell ref="B593:D593"/>
    <mergeCell ref="B594:D594"/>
    <mergeCell ref="B595:D595"/>
    <mergeCell ref="B584:D584"/>
    <mergeCell ref="B585:D585"/>
    <mergeCell ref="B586:D586"/>
    <mergeCell ref="B587:D587"/>
    <mergeCell ref="B588:D588"/>
    <mergeCell ref="B589:D589"/>
    <mergeCell ref="B578:D578"/>
    <mergeCell ref="B579:D579"/>
    <mergeCell ref="B580:D580"/>
    <mergeCell ref="B581:D581"/>
    <mergeCell ref="B582:D582"/>
    <mergeCell ref="B583:D583"/>
    <mergeCell ref="B572:D572"/>
    <mergeCell ref="B573:D573"/>
    <mergeCell ref="B574:D574"/>
    <mergeCell ref="B575:D575"/>
    <mergeCell ref="B576:D576"/>
    <mergeCell ref="B577:D577"/>
    <mergeCell ref="B566:D566"/>
    <mergeCell ref="B567:D567"/>
    <mergeCell ref="B568:D568"/>
    <mergeCell ref="B569:D569"/>
    <mergeCell ref="B570:D570"/>
    <mergeCell ref="B571:D571"/>
    <mergeCell ref="B560:D560"/>
    <mergeCell ref="B561:D561"/>
    <mergeCell ref="B562:D562"/>
    <mergeCell ref="B563:D563"/>
    <mergeCell ref="B564:D564"/>
    <mergeCell ref="B565:D565"/>
    <mergeCell ref="B554:D554"/>
    <mergeCell ref="B555:D555"/>
    <mergeCell ref="B556:D556"/>
    <mergeCell ref="B557:D557"/>
    <mergeCell ref="B558:D558"/>
    <mergeCell ref="B559:D559"/>
    <mergeCell ref="B548:D548"/>
    <mergeCell ref="B549:D549"/>
    <mergeCell ref="B550:D550"/>
    <mergeCell ref="B551:D551"/>
    <mergeCell ref="B552:D552"/>
    <mergeCell ref="B553:D553"/>
    <mergeCell ref="B542:D542"/>
    <mergeCell ref="B543:D543"/>
    <mergeCell ref="B544:D544"/>
    <mergeCell ref="B545:D545"/>
    <mergeCell ref="B546:D546"/>
    <mergeCell ref="B547:D547"/>
    <mergeCell ref="B536:D536"/>
    <mergeCell ref="B537:D537"/>
    <mergeCell ref="B538:D538"/>
    <mergeCell ref="B539:D539"/>
    <mergeCell ref="B540:D540"/>
    <mergeCell ref="B541:D541"/>
    <mergeCell ref="B530:D530"/>
    <mergeCell ref="B531:D531"/>
    <mergeCell ref="B532:D532"/>
    <mergeCell ref="B533:D533"/>
    <mergeCell ref="B534:D534"/>
    <mergeCell ref="B535:D535"/>
    <mergeCell ref="B524:D524"/>
    <mergeCell ref="B525:D525"/>
    <mergeCell ref="B526:D526"/>
    <mergeCell ref="B527:D527"/>
    <mergeCell ref="B528:D528"/>
    <mergeCell ref="B529:D529"/>
    <mergeCell ref="B518:D518"/>
    <mergeCell ref="B519:D519"/>
    <mergeCell ref="B520:D520"/>
    <mergeCell ref="B521:D521"/>
    <mergeCell ref="B522:D522"/>
    <mergeCell ref="B523:D523"/>
    <mergeCell ref="B512:D512"/>
    <mergeCell ref="B513:D513"/>
    <mergeCell ref="B514:D514"/>
    <mergeCell ref="B515:D515"/>
    <mergeCell ref="B516:D516"/>
    <mergeCell ref="B517:D517"/>
    <mergeCell ref="B506:D506"/>
    <mergeCell ref="B507:D507"/>
    <mergeCell ref="B508:D508"/>
    <mergeCell ref="B509:D509"/>
    <mergeCell ref="B510:D510"/>
    <mergeCell ref="B511:D511"/>
    <mergeCell ref="B500:D500"/>
    <mergeCell ref="B501:D501"/>
    <mergeCell ref="B502:D502"/>
    <mergeCell ref="B503:D503"/>
    <mergeCell ref="B504:D504"/>
    <mergeCell ref="B505:D505"/>
    <mergeCell ref="B494:D494"/>
    <mergeCell ref="B495:D495"/>
    <mergeCell ref="B496:D496"/>
    <mergeCell ref="B497:D497"/>
    <mergeCell ref="B498:D498"/>
    <mergeCell ref="B499:D499"/>
    <mergeCell ref="B488:D488"/>
    <mergeCell ref="B489:D489"/>
    <mergeCell ref="B490:D490"/>
    <mergeCell ref="B491:D491"/>
    <mergeCell ref="B492:D492"/>
    <mergeCell ref="B493:D493"/>
    <mergeCell ref="B482:D482"/>
    <mergeCell ref="B483:D483"/>
    <mergeCell ref="B484:D484"/>
    <mergeCell ref="B485:D485"/>
    <mergeCell ref="B486:D486"/>
    <mergeCell ref="B487:D487"/>
    <mergeCell ref="B476:D476"/>
    <mergeCell ref="B477:D477"/>
    <mergeCell ref="B478:D478"/>
    <mergeCell ref="B479:D479"/>
    <mergeCell ref="B480:D480"/>
    <mergeCell ref="B481:D481"/>
    <mergeCell ref="B470:D470"/>
    <mergeCell ref="B471:D471"/>
    <mergeCell ref="B472:D472"/>
    <mergeCell ref="B473:D473"/>
    <mergeCell ref="B474:D474"/>
    <mergeCell ref="B475:D475"/>
    <mergeCell ref="B464:D464"/>
    <mergeCell ref="B465:D465"/>
    <mergeCell ref="B466:D466"/>
    <mergeCell ref="B467:D467"/>
    <mergeCell ref="B468:D468"/>
    <mergeCell ref="B469:D469"/>
    <mergeCell ref="B458:D458"/>
    <mergeCell ref="B459:D459"/>
    <mergeCell ref="B460:D460"/>
    <mergeCell ref="B461:D461"/>
    <mergeCell ref="B462:D462"/>
    <mergeCell ref="B463:D463"/>
    <mergeCell ref="B452:D452"/>
    <mergeCell ref="B453:D453"/>
    <mergeCell ref="B454:D454"/>
    <mergeCell ref="B455:D455"/>
    <mergeCell ref="B456:D456"/>
    <mergeCell ref="B457:D457"/>
    <mergeCell ref="B446:D446"/>
    <mergeCell ref="B447:D447"/>
    <mergeCell ref="B448:D448"/>
    <mergeCell ref="B449:D449"/>
    <mergeCell ref="B450:D450"/>
    <mergeCell ref="B451:D451"/>
    <mergeCell ref="B440:D440"/>
    <mergeCell ref="B441:D441"/>
    <mergeCell ref="B442:D442"/>
    <mergeCell ref="B443:D443"/>
    <mergeCell ref="B444:D444"/>
    <mergeCell ref="B445:D445"/>
    <mergeCell ref="B434:D434"/>
    <mergeCell ref="B435:D435"/>
    <mergeCell ref="B436:D436"/>
    <mergeCell ref="B437:D437"/>
    <mergeCell ref="B438:D438"/>
    <mergeCell ref="B439:D439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380:D380"/>
    <mergeCell ref="B381:D381"/>
    <mergeCell ref="B382:D382"/>
    <mergeCell ref="B383:D383"/>
    <mergeCell ref="B384:D384"/>
    <mergeCell ref="B385:D385"/>
    <mergeCell ref="B374:D374"/>
    <mergeCell ref="B375:D375"/>
    <mergeCell ref="B376:D376"/>
    <mergeCell ref="B377:D377"/>
    <mergeCell ref="B378:D378"/>
    <mergeCell ref="B379:D379"/>
    <mergeCell ref="B368:D368"/>
    <mergeCell ref="B369:D369"/>
    <mergeCell ref="B370:D370"/>
    <mergeCell ref="B371:D371"/>
    <mergeCell ref="B372:D372"/>
    <mergeCell ref="B373:D373"/>
    <mergeCell ref="B362:D362"/>
    <mergeCell ref="B363:D363"/>
    <mergeCell ref="B364:D364"/>
    <mergeCell ref="B365:D365"/>
    <mergeCell ref="B366:D366"/>
    <mergeCell ref="B367:D367"/>
    <mergeCell ref="B356:D356"/>
    <mergeCell ref="B357:D357"/>
    <mergeCell ref="B358:D358"/>
    <mergeCell ref="B359:D359"/>
    <mergeCell ref="B360:D360"/>
    <mergeCell ref="B361:D361"/>
    <mergeCell ref="B350:D350"/>
    <mergeCell ref="B351:D351"/>
    <mergeCell ref="B352:D352"/>
    <mergeCell ref="B353:D353"/>
    <mergeCell ref="B354:D354"/>
    <mergeCell ref="B355:D355"/>
    <mergeCell ref="B344:D344"/>
    <mergeCell ref="B345:D345"/>
    <mergeCell ref="B346:D346"/>
    <mergeCell ref="B347:D347"/>
    <mergeCell ref="B348:D348"/>
    <mergeCell ref="B349:D349"/>
    <mergeCell ref="B338:D338"/>
    <mergeCell ref="B339:D339"/>
    <mergeCell ref="B340:D340"/>
    <mergeCell ref="B341:D341"/>
    <mergeCell ref="B342:D342"/>
    <mergeCell ref="B343:D343"/>
    <mergeCell ref="B332:D332"/>
    <mergeCell ref="B333:D333"/>
    <mergeCell ref="B334:D334"/>
    <mergeCell ref="B335:D335"/>
    <mergeCell ref="B336:D336"/>
    <mergeCell ref="B337:D337"/>
    <mergeCell ref="B326:D326"/>
    <mergeCell ref="B327:D327"/>
    <mergeCell ref="B328:D328"/>
    <mergeCell ref="B329:D329"/>
    <mergeCell ref="B330:D330"/>
    <mergeCell ref="B331:D331"/>
    <mergeCell ref="B320:D320"/>
    <mergeCell ref="B321:D321"/>
    <mergeCell ref="B322:D322"/>
    <mergeCell ref="B323:D323"/>
    <mergeCell ref="B324:D324"/>
    <mergeCell ref="B325:D325"/>
    <mergeCell ref="B314:D314"/>
    <mergeCell ref="B315:D315"/>
    <mergeCell ref="B316:D316"/>
    <mergeCell ref="B317:D317"/>
    <mergeCell ref="B318:D318"/>
    <mergeCell ref="B319:D319"/>
    <mergeCell ref="B308:D308"/>
    <mergeCell ref="B309:D309"/>
    <mergeCell ref="B310:D310"/>
    <mergeCell ref="B311:D311"/>
    <mergeCell ref="B312:D312"/>
    <mergeCell ref="B313:D313"/>
    <mergeCell ref="B302:D302"/>
    <mergeCell ref="B303:D303"/>
    <mergeCell ref="B304:D304"/>
    <mergeCell ref="B305:D305"/>
    <mergeCell ref="B306:D306"/>
    <mergeCell ref="B307:D307"/>
    <mergeCell ref="B296:D296"/>
    <mergeCell ref="B297:D297"/>
    <mergeCell ref="B298:D298"/>
    <mergeCell ref="B299:D299"/>
    <mergeCell ref="B300:D300"/>
    <mergeCell ref="B301:D301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42:D242"/>
    <mergeCell ref="B243:D243"/>
    <mergeCell ref="B244:D244"/>
    <mergeCell ref="B245:D245"/>
    <mergeCell ref="B246:D246"/>
    <mergeCell ref="B247:D247"/>
    <mergeCell ref="B236:D236"/>
    <mergeCell ref="B237:D237"/>
    <mergeCell ref="B238:D238"/>
    <mergeCell ref="B239:D239"/>
    <mergeCell ref="B240:D240"/>
    <mergeCell ref="B241:D241"/>
    <mergeCell ref="B230:D230"/>
    <mergeCell ref="B231:D231"/>
    <mergeCell ref="B232:D232"/>
    <mergeCell ref="B233:D233"/>
    <mergeCell ref="B234:D234"/>
    <mergeCell ref="B235:D235"/>
    <mergeCell ref="B224:D224"/>
    <mergeCell ref="B225:D225"/>
    <mergeCell ref="B226:D226"/>
    <mergeCell ref="B227:D227"/>
    <mergeCell ref="B228:D228"/>
    <mergeCell ref="B229:D229"/>
    <mergeCell ref="B218:D218"/>
    <mergeCell ref="B219:D219"/>
    <mergeCell ref="B220:D220"/>
    <mergeCell ref="B221:D221"/>
    <mergeCell ref="B222:D222"/>
    <mergeCell ref="B223:D223"/>
    <mergeCell ref="B212:D212"/>
    <mergeCell ref="B213:D213"/>
    <mergeCell ref="B214:D214"/>
    <mergeCell ref="B215:D215"/>
    <mergeCell ref="B216:D216"/>
    <mergeCell ref="B217:D217"/>
    <mergeCell ref="B206:D206"/>
    <mergeCell ref="B207:D207"/>
    <mergeCell ref="B208:D208"/>
    <mergeCell ref="B209:D209"/>
    <mergeCell ref="B210:D210"/>
    <mergeCell ref="B211:D211"/>
    <mergeCell ref="B200:D200"/>
    <mergeCell ref="B201:D201"/>
    <mergeCell ref="B202:D202"/>
    <mergeCell ref="B203:D203"/>
    <mergeCell ref="B204:D204"/>
    <mergeCell ref="B205:D205"/>
    <mergeCell ref="B194:D194"/>
    <mergeCell ref="B195:D195"/>
    <mergeCell ref="B196:D196"/>
    <mergeCell ref="B197:D197"/>
    <mergeCell ref="B198:D198"/>
    <mergeCell ref="B199:D199"/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  <mergeCell ref="B14:D14"/>
    <mergeCell ref="B15:D15"/>
    <mergeCell ref="B16:D1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2"/>
  <sheetViews>
    <sheetView showGridLines="0" topLeftCell="A8" zoomScaleNormal="100" zoomScaleSheetLayoutView="100" workbookViewId="0">
      <selection activeCell="B10" sqref="B10"/>
    </sheetView>
  </sheetViews>
  <sheetFormatPr defaultColWidth="11.42578125" defaultRowHeight="14.25" x14ac:dyDescent="0.2"/>
  <cols>
    <col min="1" max="1" width="45.28515625" style="40" customWidth="1"/>
    <col min="2" max="2" width="11.140625" style="41" customWidth="1"/>
    <col min="3" max="3" width="8.28515625" style="42" bestFit="1" customWidth="1"/>
    <col min="4" max="4" width="20.28515625" style="43" hidden="1" customWidth="1"/>
    <col min="5" max="5" width="16.85546875" style="42" bestFit="1" customWidth="1"/>
    <col min="6" max="6" width="3" style="42" customWidth="1"/>
    <col min="7" max="7" width="15.140625" style="42" customWidth="1"/>
    <col min="8" max="97" width="11.42578125" style="42" customWidth="1"/>
    <col min="98" max="249" width="11.42578125" style="40"/>
    <col min="250" max="250" width="45.28515625" style="40" customWidth="1"/>
    <col min="251" max="251" width="11.140625" style="40" customWidth="1"/>
    <col min="252" max="252" width="18" style="40" customWidth="1"/>
    <col min="253" max="253" width="19.140625" style="40" customWidth="1"/>
    <col min="254" max="254" width="8.28515625" style="40" bestFit="1" customWidth="1"/>
    <col min="255" max="255" width="0" style="40" hidden="1" customWidth="1"/>
    <col min="256" max="256" width="16.85546875" style="40" bestFit="1" customWidth="1"/>
    <col min="257" max="258" width="14.5703125" style="40" bestFit="1" customWidth="1"/>
    <col min="259" max="505" width="11.42578125" style="40"/>
    <col min="506" max="506" width="45.28515625" style="40" customWidth="1"/>
    <col min="507" max="507" width="11.140625" style="40" customWidth="1"/>
    <col min="508" max="508" width="18" style="40" customWidth="1"/>
    <col min="509" max="509" width="19.140625" style="40" customWidth="1"/>
    <col min="510" max="510" width="8.28515625" style="40" bestFit="1" customWidth="1"/>
    <col min="511" max="511" width="0" style="40" hidden="1" customWidth="1"/>
    <col min="512" max="512" width="16.85546875" style="40" bestFit="1" customWidth="1"/>
    <col min="513" max="514" width="14.5703125" style="40" bestFit="1" customWidth="1"/>
    <col min="515" max="761" width="11.42578125" style="40"/>
    <col min="762" max="762" width="45.28515625" style="40" customWidth="1"/>
    <col min="763" max="763" width="11.140625" style="40" customWidth="1"/>
    <col min="764" max="764" width="18" style="40" customWidth="1"/>
    <col min="765" max="765" width="19.140625" style="40" customWidth="1"/>
    <col min="766" max="766" width="8.28515625" style="40" bestFit="1" customWidth="1"/>
    <col min="767" max="767" width="0" style="40" hidden="1" customWidth="1"/>
    <col min="768" max="768" width="16.85546875" style="40" bestFit="1" customWidth="1"/>
    <col min="769" max="770" width="14.5703125" style="40" bestFit="1" customWidth="1"/>
    <col min="771" max="1017" width="11.42578125" style="40"/>
    <col min="1018" max="1018" width="45.28515625" style="40" customWidth="1"/>
    <col min="1019" max="1019" width="11.140625" style="40" customWidth="1"/>
    <col min="1020" max="1020" width="18" style="40" customWidth="1"/>
    <col min="1021" max="1021" width="19.140625" style="40" customWidth="1"/>
    <col min="1022" max="1022" width="8.28515625" style="40" bestFit="1" customWidth="1"/>
    <col min="1023" max="1023" width="0" style="40" hidden="1" customWidth="1"/>
    <col min="1024" max="1024" width="16.85546875" style="40" bestFit="1" customWidth="1"/>
    <col min="1025" max="1026" width="14.5703125" style="40" bestFit="1" customWidth="1"/>
    <col min="1027" max="1273" width="11.42578125" style="40"/>
    <col min="1274" max="1274" width="45.28515625" style="40" customWidth="1"/>
    <col min="1275" max="1275" width="11.140625" style="40" customWidth="1"/>
    <col min="1276" max="1276" width="18" style="40" customWidth="1"/>
    <col min="1277" max="1277" width="19.140625" style="40" customWidth="1"/>
    <col min="1278" max="1278" width="8.28515625" style="40" bestFit="1" customWidth="1"/>
    <col min="1279" max="1279" width="0" style="40" hidden="1" customWidth="1"/>
    <col min="1280" max="1280" width="16.85546875" style="40" bestFit="1" customWidth="1"/>
    <col min="1281" max="1282" width="14.5703125" style="40" bestFit="1" customWidth="1"/>
    <col min="1283" max="1529" width="11.42578125" style="40"/>
    <col min="1530" max="1530" width="45.28515625" style="40" customWidth="1"/>
    <col min="1531" max="1531" width="11.140625" style="40" customWidth="1"/>
    <col min="1532" max="1532" width="18" style="40" customWidth="1"/>
    <col min="1533" max="1533" width="19.140625" style="40" customWidth="1"/>
    <col min="1534" max="1534" width="8.28515625" style="40" bestFit="1" customWidth="1"/>
    <col min="1535" max="1535" width="0" style="40" hidden="1" customWidth="1"/>
    <col min="1536" max="1536" width="16.85546875" style="40" bestFit="1" customWidth="1"/>
    <col min="1537" max="1538" width="14.5703125" style="40" bestFit="1" customWidth="1"/>
    <col min="1539" max="1785" width="11.42578125" style="40"/>
    <col min="1786" max="1786" width="45.28515625" style="40" customWidth="1"/>
    <col min="1787" max="1787" width="11.140625" style="40" customWidth="1"/>
    <col min="1788" max="1788" width="18" style="40" customWidth="1"/>
    <col min="1789" max="1789" width="19.140625" style="40" customWidth="1"/>
    <col min="1790" max="1790" width="8.28515625" style="40" bestFit="1" customWidth="1"/>
    <col min="1791" max="1791" width="0" style="40" hidden="1" customWidth="1"/>
    <col min="1792" max="1792" width="16.85546875" style="40" bestFit="1" customWidth="1"/>
    <col min="1793" max="1794" width="14.5703125" style="40" bestFit="1" customWidth="1"/>
    <col min="1795" max="2041" width="11.42578125" style="40"/>
    <col min="2042" max="2042" width="45.28515625" style="40" customWidth="1"/>
    <col min="2043" max="2043" width="11.140625" style="40" customWidth="1"/>
    <col min="2044" max="2044" width="18" style="40" customWidth="1"/>
    <col min="2045" max="2045" width="19.140625" style="40" customWidth="1"/>
    <col min="2046" max="2046" width="8.28515625" style="40" bestFit="1" customWidth="1"/>
    <col min="2047" max="2047" width="0" style="40" hidden="1" customWidth="1"/>
    <col min="2048" max="2048" width="16.85546875" style="40" bestFit="1" customWidth="1"/>
    <col min="2049" max="2050" width="14.5703125" style="40" bestFit="1" customWidth="1"/>
    <col min="2051" max="2297" width="11.42578125" style="40"/>
    <col min="2298" max="2298" width="45.28515625" style="40" customWidth="1"/>
    <col min="2299" max="2299" width="11.140625" style="40" customWidth="1"/>
    <col min="2300" max="2300" width="18" style="40" customWidth="1"/>
    <col min="2301" max="2301" width="19.140625" style="40" customWidth="1"/>
    <col min="2302" max="2302" width="8.28515625" style="40" bestFit="1" customWidth="1"/>
    <col min="2303" max="2303" width="0" style="40" hidden="1" customWidth="1"/>
    <col min="2304" max="2304" width="16.85546875" style="40" bestFit="1" customWidth="1"/>
    <col min="2305" max="2306" width="14.5703125" style="40" bestFit="1" customWidth="1"/>
    <col min="2307" max="2553" width="11.42578125" style="40"/>
    <col min="2554" max="2554" width="45.28515625" style="40" customWidth="1"/>
    <col min="2555" max="2555" width="11.140625" style="40" customWidth="1"/>
    <col min="2556" max="2556" width="18" style="40" customWidth="1"/>
    <col min="2557" max="2557" width="19.140625" style="40" customWidth="1"/>
    <col min="2558" max="2558" width="8.28515625" style="40" bestFit="1" customWidth="1"/>
    <col min="2559" max="2559" width="0" style="40" hidden="1" customWidth="1"/>
    <col min="2560" max="2560" width="16.85546875" style="40" bestFit="1" customWidth="1"/>
    <col min="2561" max="2562" width="14.5703125" style="40" bestFit="1" customWidth="1"/>
    <col min="2563" max="2809" width="11.42578125" style="40"/>
    <col min="2810" max="2810" width="45.28515625" style="40" customWidth="1"/>
    <col min="2811" max="2811" width="11.140625" style="40" customWidth="1"/>
    <col min="2812" max="2812" width="18" style="40" customWidth="1"/>
    <col min="2813" max="2813" width="19.140625" style="40" customWidth="1"/>
    <col min="2814" max="2814" width="8.28515625" style="40" bestFit="1" customWidth="1"/>
    <col min="2815" max="2815" width="0" style="40" hidden="1" customWidth="1"/>
    <col min="2816" max="2816" width="16.85546875" style="40" bestFit="1" customWidth="1"/>
    <col min="2817" max="2818" width="14.5703125" style="40" bestFit="1" customWidth="1"/>
    <col min="2819" max="3065" width="11.42578125" style="40"/>
    <col min="3066" max="3066" width="45.28515625" style="40" customWidth="1"/>
    <col min="3067" max="3067" width="11.140625" style="40" customWidth="1"/>
    <col min="3068" max="3068" width="18" style="40" customWidth="1"/>
    <col min="3069" max="3069" width="19.140625" style="40" customWidth="1"/>
    <col min="3070" max="3070" width="8.28515625" style="40" bestFit="1" customWidth="1"/>
    <col min="3071" max="3071" width="0" style="40" hidden="1" customWidth="1"/>
    <col min="3072" max="3072" width="16.85546875" style="40" bestFit="1" customWidth="1"/>
    <col min="3073" max="3074" width="14.5703125" style="40" bestFit="1" customWidth="1"/>
    <col min="3075" max="3321" width="11.42578125" style="40"/>
    <col min="3322" max="3322" width="45.28515625" style="40" customWidth="1"/>
    <col min="3323" max="3323" width="11.140625" style="40" customWidth="1"/>
    <col min="3324" max="3324" width="18" style="40" customWidth="1"/>
    <col min="3325" max="3325" width="19.140625" style="40" customWidth="1"/>
    <col min="3326" max="3326" width="8.28515625" style="40" bestFit="1" customWidth="1"/>
    <col min="3327" max="3327" width="0" style="40" hidden="1" customWidth="1"/>
    <col min="3328" max="3328" width="16.85546875" style="40" bestFit="1" customWidth="1"/>
    <col min="3329" max="3330" width="14.5703125" style="40" bestFit="1" customWidth="1"/>
    <col min="3331" max="3577" width="11.42578125" style="40"/>
    <col min="3578" max="3578" width="45.28515625" style="40" customWidth="1"/>
    <col min="3579" max="3579" width="11.140625" style="40" customWidth="1"/>
    <col min="3580" max="3580" width="18" style="40" customWidth="1"/>
    <col min="3581" max="3581" width="19.140625" style="40" customWidth="1"/>
    <col min="3582" max="3582" width="8.28515625" style="40" bestFit="1" customWidth="1"/>
    <col min="3583" max="3583" width="0" style="40" hidden="1" customWidth="1"/>
    <col min="3584" max="3584" width="16.85546875" style="40" bestFit="1" customWidth="1"/>
    <col min="3585" max="3586" width="14.5703125" style="40" bestFit="1" customWidth="1"/>
    <col min="3587" max="3833" width="11.42578125" style="40"/>
    <col min="3834" max="3834" width="45.28515625" style="40" customWidth="1"/>
    <col min="3835" max="3835" width="11.140625" style="40" customWidth="1"/>
    <col min="3836" max="3836" width="18" style="40" customWidth="1"/>
    <col min="3837" max="3837" width="19.140625" style="40" customWidth="1"/>
    <col min="3838" max="3838" width="8.28515625" style="40" bestFit="1" customWidth="1"/>
    <col min="3839" max="3839" width="0" style="40" hidden="1" customWidth="1"/>
    <col min="3840" max="3840" width="16.85546875" style="40" bestFit="1" customWidth="1"/>
    <col min="3841" max="3842" width="14.5703125" style="40" bestFit="1" customWidth="1"/>
    <col min="3843" max="4089" width="11.42578125" style="40"/>
    <col min="4090" max="4090" width="45.28515625" style="40" customWidth="1"/>
    <col min="4091" max="4091" width="11.140625" style="40" customWidth="1"/>
    <col min="4092" max="4092" width="18" style="40" customWidth="1"/>
    <col min="4093" max="4093" width="19.140625" style="40" customWidth="1"/>
    <col min="4094" max="4094" width="8.28515625" style="40" bestFit="1" customWidth="1"/>
    <col min="4095" max="4095" width="0" style="40" hidden="1" customWidth="1"/>
    <col min="4096" max="4096" width="16.85546875" style="40" bestFit="1" customWidth="1"/>
    <col min="4097" max="4098" width="14.5703125" style="40" bestFit="1" customWidth="1"/>
    <col min="4099" max="4345" width="11.42578125" style="40"/>
    <col min="4346" max="4346" width="45.28515625" style="40" customWidth="1"/>
    <col min="4347" max="4347" width="11.140625" style="40" customWidth="1"/>
    <col min="4348" max="4348" width="18" style="40" customWidth="1"/>
    <col min="4349" max="4349" width="19.140625" style="40" customWidth="1"/>
    <col min="4350" max="4350" width="8.28515625" style="40" bestFit="1" customWidth="1"/>
    <col min="4351" max="4351" width="0" style="40" hidden="1" customWidth="1"/>
    <col min="4352" max="4352" width="16.85546875" style="40" bestFit="1" customWidth="1"/>
    <col min="4353" max="4354" width="14.5703125" style="40" bestFit="1" customWidth="1"/>
    <col min="4355" max="4601" width="11.42578125" style="40"/>
    <col min="4602" max="4602" width="45.28515625" style="40" customWidth="1"/>
    <col min="4603" max="4603" width="11.140625" style="40" customWidth="1"/>
    <col min="4604" max="4604" width="18" style="40" customWidth="1"/>
    <col min="4605" max="4605" width="19.140625" style="40" customWidth="1"/>
    <col min="4606" max="4606" width="8.28515625" style="40" bestFit="1" customWidth="1"/>
    <col min="4607" max="4607" width="0" style="40" hidden="1" customWidth="1"/>
    <col min="4608" max="4608" width="16.85546875" style="40" bestFit="1" customWidth="1"/>
    <col min="4609" max="4610" width="14.5703125" style="40" bestFit="1" customWidth="1"/>
    <col min="4611" max="4857" width="11.42578125" style="40"/>
    <col min="4858" max="4858" width="45.28515625" style="40" customWidth="1"/>
    <col min="4859" max="4859" width="11.140625" style="40" customWidth="1"/>
    <col min="4860" max="4860" width="18" style="40" customWidth="1"/>
    <col min="4861" max="4861" width="19.140625" style="40" customWidth="1"/>
    <col min="4862" max="4862" width="8.28515625" style="40" bestFit="1" customWidth="1"/>
    <col min="4863" max="4863" width="0" style="40" hidden="1" customWidth="1"/>
    <col min="4864" max="4864" width="16.85546875" style="40" bestFit="1" customWidth="1"/>
    <col min="4865" max="4866" width="14.5703125" style="40" bestFit="1" customWidth="1"/>
    <col min="4867" max="5113" width="11.42578125" style="40"/>
    <col min="5114" max="5114" width="45.28515625" style="40" customWidth="1"/>
    <col min="5115" max="5115" width="11.140625" style="40" customWidth="1"/>
    <col min="5116" max="5116" width="18" style="40" customWidth="1"/>
    <col min="5117" max="5117" width="19.140625" style="40" customWidth="1"/>
    <col min="5118" max="5118" width="8.28515625" style="40" bestFit="1" customWidth="1"/>
    <col min="5119" max="5119" width="0" style="40" hidden="1" customWidth="1"/>
    <col min="5120" max="5120" width="16.85546875" style="40" bestFit="1" customWidth="1"/>
    <col min="5121" max="5122" width="14.5703125" style="40" bestFit="1" customWidth="1"/>
    <col min="5123" max="5369" width="11.42578125" style="40"/>
    <col min="5370" max="5370" width="45.28515625" style="40" customWidth="1"/>
    <col min="5371" max="5371" width="11.140625" style="40" customWidth="1"/>
    <col min="5372" max="5372" width="18" style="40" customWidth="1"/>
    <col min="5373" max="5373" width="19.140625" style="40" customWidth="1"/>
    <col min="5374" max="5374" width="8.28515625" style="40" bestFit="1" customWidth="1"/>
    <col min="5375" max="5375" width="0" style="40" hidden="1" customWidth="1"/>
    <col min="5376" max="5376" width="16.85546875" style="40" bestFit="1" customWidth="1"/>
    <col min="5377" max="5378" width="14.5703125" style="40" bestFit="1" customWidth="1"/>
    <col min="5379" max="5625" width="11.42578125" style="40"/>
    <col min="5626" max="5626" width="45.28515625" style="40" customWidth="1"/>
    <col min="5627" max="5627" width="11.140625" style="40" customWidth="1"/>
    <col min="5628" max="5628" width="18" style="40" customWidth="1"/>
    <col min="5629" max="5629" width="19.140625" style="40" customWidth="1"/>
    <col min="5630" max="5630" width="8.28515625" style="40" bestFit="1" customWidth="1"/>
    <col min="5631" max="5631" width="0" style="40" hidden="1" customWidth="1"/>
    <col min="5632" max="5632" width="16.85546875" style="40" bestFit="1" customWidth="1"/>
    <col min="5633" max="5634" width="14.5703125" style="40" bestFit="1" customWidth="1"/>
    <col min="5635" max="5881" width="11.42578125" style="40"/>
    <col min="5882" max="5882" width="45.28515625" style="40" customWidth="1"/>
    <col min="5883" max="5883" width="11.140625" style="40" customWidth="1"/>
    <col min="5884" max="5884" width="18" style="40" customWidth="1"/>
    <col min="5885" max="5885" width="19.140625" style="40" customWidth="1"/>
    <col min="5886" max="5886" width="8.28515625" style="40" bestFit="1" customWidth="1"/>
    <col min="5887" max="5887" width="0" style="40" hidden="1" customWidth="1"/>
    <col min="5888" max="5888" width="16.85546875" style="40" bestFit="1" customWidth="1"/>
    <col min="5889" max="5890" width="14.5703125" style="40" bestFit="1" customWidth="1"/>
    <col min="5891" max="6137" width="11.42578125" style="40"/>
    <col min="6138" max="6138" width="45.28515625" style="40" customWidth="1"/>
    <col min="6139" max="6139" width="11.140625" style="40" customWidth="1"/>
    <col min="6140" max="6140" width="18" style="40" customWidth="1"/>
    <col min="6141" max="6141" width="19.140625" style="40" customWidth="1"/>
    <col min="6142" max="6142" width="8.28515625" style="40" bestFit="1" customWidth="1"/>
    <col min="6143" max="6143" width="0" style="40" hidden="1" customWidth="1"/>
    <col min="6144" max="6144" width="16.85546875" style="40" bestFit="1" customWidth="1"/>
    <col min="6145" max="6146" width="14.5703125" style="40" bestFit="1" customWidth="1"/>
    <col min="6147" max="6393" width="11.42578125" style="40"/>
    <col min="6394" max="6394" width="45.28515625" style="40" customWidth="1"/>
    <col min="6395" max="6395" width="11.140625" style="40" customWidth="1"/>
    <col min="6396" max="6396" width="18" style="40" customWidth="1"/>
    <col min="6397" max="6397" width="19.140625" style="40" customWidth="1"/>
    <col min="6398" max="6398" width="8.28515625" style="40" bestFit="1" customWidth="1"/>
    <col min="6399" max="6399" width="0" style="40" hidden="1" customWidth="1"/>
    <col min="6400" max="6400" width="16.85546875" style="40" bestFit="1" customWidth="1"/>
    <col min="6401" max="6402" width="14.5703125" style="40" bestFit="1" customWidth="1"/>
    <col min="6403" max="6649" width="11.42578125" style="40"/>
    <col min="6650" max="6650" width="45.28515625" style="40" customWidth="1"/>
    <col min="6651" max="6651" width="11.140625" style="40" customWidth="1"/>
    <col min="6652" max="6652" width="18" style="40" customWidth="1"/>
    <col min="6653" max="6653" width="19.140625" style="40" customWidth="1"/>
    <col min="6654" max="6654" width="8.28515625" style="40" bestFit="1" customWidth="1"/>
    <col min="6655" max="6655" width="0" style="40" hidden="1" customWidth="1"/>
    <col min="6656" max="6656" width="16.85546875" style="40" bestFit="1" customWidth="1"/>
    <col min="6657" max="6658" width="14.5703125" style="40" bestFit="1" customWidth="1"/>
    <col min="6659" max="6905" width="11.42578125" style="40"/>
    <col min="6906" max="6906" width="45.28515625" style="40" customWidth="1"/>
    <col min="6907" max="6907" width="11.140625" style="40" customWidth="1"/>
    <col min="6908" max="6908" width="18" style="40" customWidth="1"/>
    <col min="6909" max="6909" width="19.140625" style="40" customWidth="1"/>
    <col min="6910" max="6910" width="8.28515625" style="40" bestFit="1" customWidth="1"/>
    <col min="6911" max="6911" width="0" style="40" hidden="1" customWidth="1"/>
    <col min="6912" max="6912" width="16.85546875" style="40" bestFit="1" customWidth="1"/>
    <col min="6913" max="6914" width="14.5703125" style="40" bestFit="1" customWidth="1"/>
    <col min="6915" max="7161" width="11.42578125" style="40"/>
    <col min="7162" max="7162" width="45.28515625" style="40" customWidth="1"/>
    <col min="7163" max="7163" width="11.140625" style="40" customWidth="1"/>
    <col min="7164" max="7164" width="18" style="40" customWidth="1"/>
    <col min="7165" max="7165" width="19.140625" style="40" customWidth="1"/>
    <col min="7166" max="7166" width="8.28515625" style="40" bestFit="1" customWidth="1"/>
    <col min="7167" max="7167" width="0" style="40" hidden="1" customWidth="1"/>
    <col min="7168" max="7168" width="16.85546875" style="40" bestFit="1" customWidth="1"/>
    <col min="7169" max="7170" width="14.5703125" style="40" bestFit="1" customWidth="1"/>
    <col min="7171" max="7417" width="11.42578125" style="40"/>
    <col min="7418" max="7418" width="45.28515625" style="40" customWidth="1"/>
    <col min="7419" max="7419" width="11.140625" style="40" customWidth="1"/>
    <col min="7420" max="7420" width="18" style="40" customWidth="1"/>
    <col min="7421" max="7421" width="19.140625" style="40" customWidth="1"/>
    <col min="7422" max="7422" width="8.28515625" style="40" bestFit="1" customWidth="1"/>
    <col min="7423" max="7423" width="0" style="40" hidden="1" customWidth="1"/>
    <col min="7424" max="7424" width="16.85546875" style="40" bestFit="1" customWidth="1"/>
    <col min="7425" max="7426" width="14.5703125" style="40" bestFit="1" customWidth="1"/>
    <col min="7427" max="7673" width="11.42578125" style="40"/>
    <col min="7674" max="7674" width="45.28515625" style="40" customWidth="1"/>
    <col min="7675" max="7675" width="11.140625" style="40" customWidth="1"/>
    <col min="7676" max="7676" width="18" style="40" customWidth="1"/>
    <col min="7677" max="7677" width="19.140625" style="40" customWidth="1"/>
    <col min="7678" max="7678" width="8.28515625" style="40" bestFit="1" customWidth="1"/>
    <col min="7679" max="7679" width="0" style="40" hidden="1" customWidth="1"/>
    <col min="7680" max="7680" width="16.85546875" style="40" bestFit="1" customWidth="1"/>
    <col min="7681" max="7682" width="14.5703125" style="40" bestFit="1" customWidth="1"/>
    <col min="7683" max="7929" width="11.42578125" style="40"/>
    <col min="7930" max="7930" width="45.28515625" style="40" customWidth="1"/>
    <col min="7931" max="7931" width="11.140625" style="40" customWidth="1"/>
    <col min="7932" max="7932" width="18" style="40" customWidth="1"/>
    <col min="7933" max="7933" width="19.140625" style="40" customWidth="1"/>
    <col min="7934" max="7934" width="8.28515625" style="40" bestFit="1" customWidth="1"/>
    <col min="7935" max="7935" width="0" style="40" hidden="1" customWidth="1"/>
    <col min="7936" max="7936" width="16.85546875" style="40" bestFit="1" customWidth="1"/>
    <col min="7937" max="7938" width="14.5703125" style="40" bestFit="1" customWidth="1"/>
    <col min="7939" max="8185" width="11.42578125" style="40"/>
    <col min="8186" max="8186" width="45.28515625" style="40" customWidth="1"/>
    <col min="8187" max="8187" width="11.140625" style="40" customWidth="1"/>
    <col min="8188" max="8188" width="18" style="40" customWidth="1"/>
    <col min="8189" max="8189" width="19.140625" style="40" customWidth="1"/>
    <col min="8190" max="8190" width="8.28515625" style="40" bestFit="1" customWidth="1"/>
    <col min="8191" max="8191" width="0" style="40" hidden="1" customWidth="1"/>
    <col min="8192" max="8192" width="16.85546875" style="40" bestFit="1" customWidth="1"/>
    <col min="8193" max="8194" width="14.5703125" style="40" bestFit="1" customWidth="1"/>
    <col min="8195" max="8441" width="11.42578125" style="40"/>
    <col min="8442" max="8442" width="45.28515625" style="40" customWidth="1"/>
    <col min="8443" max="8443" width="11.140625" style="40" customWidth="1"/>
    <col min="8444" max="8444" width="18" style="40" customWidth="1"/>
    <col min="8445" max="8445" width="19.140625" style="40" customWidth="1"/>
    <col min="8446" max="8446" width="8.28515625" style="40" bestFit="1" customWidth="1"/>
    <col min="8447" max="8447" width="0" style="40" hidden="1" customWidth="1"/>
    <col min="8448" max="8448" width="16.85546875" style="40" bestFit="1" customWidth="1"/>
    <col min="8449" max="8450" width="14.5703125" style="40" bestFit="1" customWidth="1"/>
    <col min="8451" max="8697" width="11.42578125" style="40"/>
    <col min="8698" max="8698" width="45.28515625" style="40" customWidth="1"/>
    <col min="8699" max="8699" width="11.140625" style="40" customWidth="1"/>
    <col min="8700" max="8700" width="18" style="40" customWidth="1"/>
    <col min="8701" max="8701" width="19.140625" style="40" customWidth="1"/>
    <col min="8702" max="8702" width="8.28515625" style="40" bestFit="1" customWidth="1"/>
    <col min="8703" max="8703" width="0" style="40" hidden="1" customWidth="1"/>
    <col min="8704" max="8704" width="16.85546875" style="40" bestFit="1" customWidth="1"/>
    <col min="8705" max="8706" width="14.5703125" style="40" bestFit="1" customWidth="1"/>
    <col min="8707" max="8953" width="11.42578125" style="40"/>
    <col min="8954" max="8954" width="45.28515625" style="40" customWidth="1"/>
    <col min="8955" max="8955" width="11.140625" style="40" customWidth="1"/>
    <col min="8956" max="8956" width="18" style="40" customWidth="1"/>
    <col min="8957" max="8957" width="19.140625" style="40" customWidth="1"/>
    <col min="8958" max="8958" width="8.28515625" style="40" bestFit="1" customWidth="1"/>
    <col min="8959" max="8959" width="0" style="40" hidden="1" customWidth="1"/>
    <col min="8960" max="8960" width="16.85546875" style="40" bestFit="1" customWidth="1"/>
    <col min="8961" max="8962" width="14.5703125" style="40" bestFit="1" customWidth="1"/>
    <col min="8963" max="9209" width="11.42578125" style="40"/>
    <col min="9210" max="9210" width="45.28515625" style="40" customWidth="1"/>
    <col min="9211" max="9211" width="11.140625" style="40" customWidth="1"/>
    <col min="9212" max="9212" width="18" style="40" customWidth="1"/>
    <col min="9213" max="9213" width="19.140625" style="40" customWidth="1"/>
    <col min="9214" max="9214" width="8.28515625" style="40" bestFit="1" customWidth="1"/>
    <col min="9215" max="9215" width="0" style="40" hidden="1" customWidth="1"/>
    <col min="9216" max="9216" width="16.85546875" style="40" bestFit="1" customWidth="1"/>
    <col min="9217" max="9218" width="14.5703125" style="40" bestFit="1" customWidth="1"/>
    <col min="9219" max="9465" width="11.42578125" style="40"/>
    <col min="9466" max="9466" width="45.28515625" style="40" customWidth="1"/>
    <col min="9467" max="9467" width="11.140625" style="40" customWidth="1"/>
    <col min="9468" max="9468" width="18" style="40" customWidth="1"/>
    <col min="9469" max="9469" width="19.140625" style="40" customWidth="1"/>
    <col min="9470" max="9470" width="8.28515625" style="40" bestFit="1" customWidth="1"/>
    <col min="9471" max="9471" width="0" style="40" hidden="1" customWidth="1"/>
    <col min="9472" max="9472" width="16.85546875" style="40" bestFit="1" customWidth="1"/>
    <col min="9473" max="9474" width="14.5703125" style="40" bestFit="1" customWidth="1"/>
    <col min="9475" max="9721" width="11.42578125" style="40"/>
    <col min="9722" max="9722" width="45.28515625" style="40" customWidth="1"/>
    <col min="9723" max="9723" width="11.140625" style="40" customWidth="1"/>
    <col min="9724" max="9724" width="18" style="40" customWidth="1"/>
    <col min="9725" max="9725" width="19.140625" style="40" customWidth="1"/>
    <col min="9726" max="9726" width="8.28515625" style="40" bestFit="1" customWidth="1"/>
    <col min="9727" max="9727" width="0" style="40" hidden="1" customWidth="1"/>
    <col min="9728" max="9728" width="16.85546875" style="40" bestFit="1" customWidth="1"/>
    <col min="9729" max="9730" width="14.5703125" style="40" bestFit="1" customWidth="1"/>
    <col min="9731" max="9977" width="11.42578125" style="40"/>
    <col min="9978" max="9978" width="45.28515625" style="40" customWidth="1"/>
    <col min="9979" max="9979" width="11.140625" style="40" customWidth="1"/>
    <col min="9980" max="9980" width="18" style="40" customWidth="1"/>
    <col min="9981" max="9981" width="19.140625" style="40" customWidth="1"/>
    <col min="9982" max="9982" width="8.28515625" style="40" bestFit="1" customWidth="1"/>
    <col min="9983" max="9983" width="0" style="40" hidden="1" customWidth="1"/>
    <col min="9984" max="9984" width="16.85546875" style="40" bestFit="1" customWidth="1"/>
    <col min="9985" max="9986" width="14.5703125" style="40" bestFit="1" customWidth="1"/>
    <col min="9987" max="10233" width="11.42578125" style="40"/>
    <col min="10234" max="10234" width="45.28515625" style="40" customWidth="1"/>
    <col min="10235" max="10235" width="11.140625" style="40" customWidth="1"/>
    <col min="10236" max="10236" width="18" style="40" customWidth="1"/>
    <col min="10237" max="10237" width="19.140625" style="40" customWidth="1"/>
    <col min="10238" max="10238" width="8.28515625" style="40" bestFit="1" customWidth="1"/>
    <col min="10239" max="10239" width="0" style="40" hidden="1" customWidth="1"/>
    <col min="10240" max="10240" width="16.85546875" style="40" bestFit="1" customWidth="1"/>
    <col min="10241" max="10242" width="14.5703125" style="40" bestFit="1" customWidth="1"/>
    <col min="10243" max="10489" width="11.42578125" style="40"/>
    <col min="10490" max="10490" width="45.28515625" style="40" customWidth="1"/>
    <col min="10491" max="10491" width="11.140625" style="40" customWidth="1"/>
    <col min="10492" max="10492" width="18" style="40" customWidth="1"/>
    <col min="10493" max="10493" width="19.140625" style="40" customWidth="1"/>
    <col min="10494" max="10494" width="8.28515625" style="40" bestFit="1" customWidth="1"/>
    <col min="10495" max="10495" width="0" style="40" hidden="1" customWidth="1"/>
    <col min="10496" max="10496" width="16.85546875" style="40" bestFit="1" customWidth="1"/>
    <col min="10497" max="10498" width="14.5703125" style="40" bestFit="1" customWidth="1"/>
    <col min="10499" max="10745" width="11.42578125" style="40"/>
    <col min="10746" max="10746" width="45.28515625" style="40" customWidth="1"/>
    <col min="10747" max="10747" width="11.140625" style="40" customWidth="1"/>
    <col min="10748" max="10748" width="18" style="40" customWidth="1"/>
    <col min="10749" max="10749" width="19.140625" style="40" customWidth="1"/>
    <col min="10750" max="10750" width="8.28515625" style="40" bestFit="1" customWidth="1"/>
    <col min="10751" max="10751" width="0" style="40" hidden="1" customWidth="1"/>
    <col min="10752" max="10752" width="16.85546875" style="40" bestFit="1" customWidth="1"/>
    <col min="10753" max="10754" width="14.5703125" style="40" bestFit="1" customWidth="1"/>
    <col min="10755" max="11001" width="11.42578125" style="40"/>
    <col min="11002" max="11002" width="45.28515625" style="40" customWidth="1"/>
    <col min="11003" max="11003" width="11.140625" style="40" customWidth="1"/>
    <col min="11004" max="11004" width="18" style="40" customWidth="1"/>
    <col min="11005" max="11005" width="19.140625" style="40" customWidth="1"/>
    <col min="11006" max="11006" width="8.28515625" style="40" bestFit="1" customWidth="1"/>
    <col min="11007" max="11007" width="0" style="40" hidden="1" customWidth="1"/>
    <col min="11008" max="11008" width="16.85546875" style="40" bestFit="1" customWidth="1"/>
    <col min="11009" max="11010" width="14.5703125" style="40" bestFit="1" customWidth="1"/>
    <col min="11011" max="11257" width="11.42578125" style="40"/>
    <col min="11258" max="11258" width="45.28515625" style="40" customWidth="1"/>
    <col min="11259" max="11259" width="11.140625" style="40" customWidth="1"/>
    <col min="11260" max="11260" width="18" style="40" customWidth="1"/>
    <col min="11261" max="11261" width="19.140625" style="40" customWidth="1"/>
    <col min="11262" max="11262" width="8.28515625" style="40" bestFit="1" customWidth="1"/>
    <col min="11263" max="11263" width="0" style="40" hidden="1" customWidth="1"/>
    <col min="11264" max="11264" width="16.85546875" style="40" bestFit="1" customWidth="1"/>
    <col min="11265" max="11266" width="14.5703125" style="40" bestFit="1" customWidth="1"/>
    <col min="11267" max="11513" width="11.42578125" style="40"/>
    <col min="11514" max="11514" width="45.28515625" style="40" customWidth="1"/>
    <col min="11515" max="11515" width="11.140625" style="40" customWidth="1"/>
    <col min="11516" max="11516" width="18" style="40" customWidth="1"/>
    <col min="11517" max="11517" width="19.140625" style="40" customWidth="1"/>
    <col min="11518" max="11518" width="8.28515625" style="40" bestFit="1" customWidth="1"/>
    <col min="11519" max="11519" width="0" style="40" hidden="1" customWidth="1"/>
    <col min="11520" max="11520" width="16.85546875" style="40" bestFit="1" customWidth="1"/>
    <col min="11521" max="11522" width="14.5703125" style="40" bestFit="1" customWidth="1"/>
    <col min="11523" max="11769" width="11.42578125" style="40"/>
    <col min="11770" max="11770" width="45.28515625" style="40" customWidth="1"/>
    <col min="11771" max="11771" width="11.140625" style="40" customWidth="1"/>
    <col min="11772" max="11772" width="18" style="40" customWidth="1"/>
    <col min="11773" max="11773" width="19.140625" style="40" customWidth="1"/>
    <col min="11774" max="11774" width="8.28515625" style="40" bestFit="1" customWidth="1"/>
    <col min="11775" max="11775" width="0" style="40" hidden="1" customWidth="1"/>
    <col min="11776" max="11776" width="16.85546875" style="40" bestFit="1" customWidth="1"/>
    <col min="11777" max="11778" width="14.5703125" style="40" bestFit="1" customWidth="1"/>
    <col min="11779" max="12025" width="11.42578125" style="40"/>
    <col min="12026" max="12026" width="45.28515625" style="40" customWidth="1"/>
    <col min="12027" max="12027" width="11.140625" style="40" customWidth="1"/>
    <col min="12028" max="12028" width="18" style="40" customWidth="1"/>
    <col min="12029" max="12029" width="19.140625" style="40" customWidth="1"/>
    <col min="12030" max="12030" width="8.28515625" style="40" bestFit="1" customWidth="1"/>
    <col min="12031" max="12031" width="0" style="40" hidden="1" customWidth="1"/>
    <col min="12032" max="12032" width="16.85546875" style="40" bestFit="1" customWidth="1"/>
    <col min="12033" max="12034" width="14.5703125" style="40" bestFit="1" customWidth="1"/>
    <col min="12035" max="12281" width="11.42578125" style="40"/>
    <col min="12282" max="12282" width="45.28515625" style="40" customWidth="1"/>
    <col min="12283" max="12283" width="11.140625" style="40" customWidth="1"/>
    <col min="12284" max="12284" width="18" style="40" customWidth="1"/>
    <col min="12285" max="12285" width="19.140625" style="40" customWidth="1"/>
    <col min="12286" max="12286" width="8.28515625" style="40" bestFit="1" customWidth="1"/>
    <col min="12287" max="12287" width="0" style="40" hidden="1" customWidth="1"/>
    <col min="12288" max="12288" width="16.85546875" style="40" bestFit="1" customWidth="1"/>
    <col min="12289" max="12290" width="14.5703125" style="40" bestFit="1" customWidth="1"/>
    <col min="12291" max="12537" width="11.42578125" style="40"/>
    <col min="12538" max="12538" width="45.28515625" style="40" customWidth="1"/>
    <col min="12539" max="12539" width="11.140625" style="40" customWidth="1"/>
    <col min="12540" max="12540" width="18" style="40" customWidth="1"/>
    <col min="12541" max="12541" width="19.140625" style="40" customWidth="1"/>
    <col min="12542" max="12542" width="8.28515625" style="40" bestFit="1" customWidth="1"/>
    <col min="12543" max="12543" width="0" style="40" hidden="1" customWidth="1"/>
    <col min="12544" max="12544" width="16.85546875" style="40" bestFit="1" customWidth="1"/>
    <col min="12545" max="12546" width="14.5703125" style="40" bestFit="1" customWidth="1"/>
    <col min="12547" max="12793" width="11.42578125" style="40"/>
    <col min="12794" max="12794" width="45.28515625" style="40" customWidth="1"/>
    <col min="12795" max="12795" width="11.140625" style="40" customWidth="1"/>
    <col min="12796" max="12796" width="18" style="40" customWidth="1"/>
    <col min="12797" max="12797" width="19.140625" style="40" customWidth="1"/>
    <col min="12798" max="12798" width="8.28515625" style="40" bestFit="1" customWidth="1"/>
    <col min="12799" max="12799" width="0" style="40" hidden="1" customWidth="1"/>
    <col min="12800" max="12800" width="16.85546875" style="40" bestFit="1" customWidth="1"/>
    <col min="12801" max="12802" width="14.5703125" style="40" bestFit="1" customWidth="1"/>
    <col min="12803" max="13049" width="11.42578125" style="40"/>
    <col min="13050" max="13050" width="45.28515625" style="40" customWidth="1"/>
    <col min="13051" max="13051" width="11.140625" style="40" customWidth="1"/>
    <col min="13052" max="13052" width="18" style="40" customWidth="1"/>
    <col min="13053" max="13053" width="19.140625" style="40" customWidth="1"/>
    <col min="13054" max="13054" width="8.28515625" style="40" bestFit="1" customWidth="1"/>
    <col min="13055" max="13055" width="0" style="40" hidden="1" customWidth="1"/>
    <col min="13056" max="13056" width="16.85546875" style="40" bestFit="1" customWidth="1"/>
    <col min="13057" max="13058" width="14.5703125" style="40" bestFit="1" customWidth="1"/>
    <col min="13059" max="13305" width="11.42578125" style="40"/>
    <col min="13306" max="13306" width="45.28515625" style="40" customWidth="1"/>
    <col min="13307" max="13307" width="11.140625" style="40" customWidth="1"/>
    <col min="13308" max="13308" width="18" style="40" customWidth="1"/>
    <col min="13309" max="13309" width="19.140625" style="40" customWidth="1"/>
    <col min="13310" max="13310" width="8.28515625" style="40" bestFit="1" customWidth="1"/>
    <col min="13311" max="13311" width="0" style="40" hidden="1" customWidth="1"/>
    <col min="13312" max="13312" width="16.85546875" style="40" bestFit="1" customWidth="1"/>
    <col min="13313" max="13314" width="14.5703125" style="40" bestFit="1" customWidth="1"/>
    <col min="13315" max="13561" width="11.42578125" style="40"/>
    <col min="13562" max="13562" width="45.28515625" style="40" customWidth="1"/>
    <col min="13563" max="13563" width="11.140625" style="40" customWidth="1"/>
    <col min="13564" max="13564" width="18" style="40" customWidth="1"/>
    <col min="13565" max="13565" width="19.140625" style="40" customWidth="1"/>
    <col min="13566" max="13566" width="8.28515625" style="40" bestFit="1" customWidth="1"/>
    <col min="13567" max="13567" width="0" style="40" hidden="1" customWidth="1"/>
    <col min="13568" max="13568" width="16.85546875" style="40" bestFit="1" customWidth="1"/>
    <col min="13569" max="13570" width="14.5703125" style="40" bestFit="1" customWidth="1"/>
    <col min="13571" max="13817" width="11.42578125" style="40"/>
    <col min="13818" max="13818" width="45.28515625" style="40" customWidth="1"/>
    <col min="13819" max="13819" width="11.140625" style="40" customWidth="1"/>
    <col min="13820" max="13820" width="18" style="40" customWidth="1"/>
    <col min="13821" max="13821" width="19.140625" style="40" customWidth="1"/>
    <col min="13822" max="13822" width="8.28515625" style="40" bestFit="1" customWidth="1"/>
    <col min="13823" max="13823" width="0" style="40" hidden="1" customWidth="1"/>
    <col min="13824" max="13824" width="16.85546875" style="40" bestFit="1" customWidth="1"/>
    <col min="13825" max="13826" width="14.5703125" style="40" bestFit="1" customWidth="1"/>
    <col min="13827" max="14073" width="11.42578125" style="40"/>
    <col min="14074" max="14074" width="45.28515625" style="40" customWidth="1"/>
    <col min="14075" max="14075" width="11.140625" style="40" customWidth="1"/>
    <col min="14076" max="14076" width="18" style="40" customWidth="1"/>
    <col min="14077" max="14077" width="19.140625" style="40" customWidth="1"/>
    <col min="14078" max="14078" width="8.28515625" style="40" bestFit="1" customWidth="1"/>
    <col min="14079" max="14079" width="0" style="40" hidden="1" customWidth="1"/>
    <col min="14080" max="14080" width="16.85546875" style="40" bestFit="1" customWidth="1"/>
    <col min="14081" max="14082" width="14.5703125" style="40" bestFit="1" customWidth="1"/>
    <col min="14083" max="14329" width="11.42578125" style="40"/>
    <col min="14330" max="14330" width="45.28515625" style="40" customWidth="1"/>
    <col min="14331" max="14331" width="11.140625" style="40" customWidth="1"/>
    <col min="14332" max="14332" width="18" style="40" customWidth="1"/>
    <col min="14333" max="14333" width="19.140625" style="40" customWidth="1"/>
    <col min="14334" max="14334" width="8.28515625" style="40" bestFit="1" customWidth="1"/>
    <col min="14335" max="14335" width="0" style="40" hidden="1" customWidth="1"/>
    <col min="14336" max="14336" width="16.85546875" style="40" bestFit="1" customWidth="1"/>
    <col min="14337" max="14338" width="14.5703125" style="40" bestFit="1" customWidth="1"/>
    <col min="14339" max="14585" width="11.42578125" style="40"/>
    <col min="14586" max="14586" width="45.28515625" style="40" customWidth="1"/>
    <col min="14587" max="14587" width="11.140625" style="40" customWidth="1"/>
    <col min="14588" max="14588" width="18" style="40" customWidth="1"/>
    <col min="14589" max="14589" width="19.140625" style="40" customWidth="1"/>
    <col min="14590" max="14590" width="8.28515625" style="40" bestFit="1" customWidth="1"/>
    <col min="14591" max="14591" width="0" style="40" hidden="1" customWidth="1"/>
    <col min="14592" max="14592" width="16.85546875" style="40" bestFit="1" customWidth="1"/>
    <col min="14593" max="14594" width="14.5703125" style="40" bestFit="1" customWidth="1"/>
    <col min="14595" max="14841" width="11.42578125" style="40"/>
    <col min="14842" max="14842" width="45.28515625" style="40" customWidth="1"/>
    <col min="14843" max="14843" width="11.140625" style="40" customWidth="1"/>
    <col min="14844" max="14844" width="18" style="40" customWidth="1"/>
    <col min="14845" max="14845" width="19.140625" style="40" customWidth="1"/>
    <col min="14846" max="14846" width="8.28515625" style="40" bestFit="1" customWidth="1"/>
    <col min="14847" max="14847" width="0" style="40" hidden="1" customWidth="1"/>
    <col min="14848" max="14848" width="16.85546875" style="40" bestFit="1" customWidth="1"/>
    <col min="14849" max="14850" width="14.5703125" style="40" bestFit="1" customWidth="1"/>
    <col min="14851" max="15097" width="11.42578125" style="40"/>
    <col min="15098" max="15098" width="45.28515625" style="40" customWidth="1"/>
    <col min="15099" max="15099" width="11.140625" style="40" customWidth="1"/>
    <col min="15100" max="15100" width="18" style="40" customWidth="1"/>
    <col min="15101" max="15101" width="19.140625" style="40" customWidth="1"/>
    <col min="15102" max="15102" width="8.28515625" style="40" bestFit="1" customWidth="1"/>
    <col min="15103" max="15103" width="0" style="40" hidden="1" customWidth="1"/>
    <col min="15104" max="15104" width="16.85546875" style="40" bestFit="1" customWidth="1"/>
    <col min="15105" max="15106" width="14.5703125" style="40" bestFit="1" customWidth="1"/>
    <col min="15107" max="15353" width="11.42578125" style="40"/>
    <col min="15354" max="15354" width="45.28515625" style="40" customWidth="1"/>
    <col min="15355" max="15355" width="11.140625" style="40" customWidth="1"/>
    <col min="15356" max="15356" width="18" style="40" customWidth="1"/>
    <col min="15357" max="15357" width="19.140625" style="40" customWidth="1"/>
    <col min="15358" max="15358" width="8.28515625" style="40" bestFit="1" customWidth="1"/>
    <col min="15359" max="15359" width="0" style="40" hidden="1" customWidth="1"/>
    <col min="15360" max="15360" width="16.85546875" style="40" bestFit="1" customWidth="1"/>
    <col min="15361" max="15362" width="14.5703125" style="40" bestFit="1" customWidth="1"/>
    <col min="15363" max="15609" width="11.42578125" style="40"/>
    <col min="15610" max="15610" width="45.28515625" style="40" customWidth="1"/>
    <col min="15611" max="15611" width="11.140625" style="40" customWidth="1"/>
    <col min="15612" max="15612" width="18" style="40" customWidth="1"/>
    <col min="15613" max="15613" width="19.140625" style="40" customWidth="1"/>
    <col min="15614" max="15614" width="8.28515625" style="40" bestFit="1" customWidth="1"/>
    <col min="15615" max="15615" width="0" style="40" hidden="1" customWidth="1"/>
    <col min="15616" max="15616" width="16.85546875" style="40" bestFit="1" customWidth="1"/>
    <col min="15617" max="15618" width="14.5703125" style="40" bestFit="1" customWidth="1"/>
    <col min="15619" max="15865" width="11.42578125" style="40"/>
    <col min="15866" max="15866" width="45.28515625" style="40" customWidth="1"/>
    <col min="15867" max="15867" width="11.140625" style="40" customWidth="1"/>
    <col min="15868" max="15868" width="18" style="40" customWidth="1"/>
    <col min="15869" max="15869" width="19.140625" style="40" customWidth="1"/>
    <col min="15870" max="15870" width="8.28515625" style="40" bestFit="1" customWidth="1"/>
    <col min="15871" max="15871" width="0" style="40" hidden="1" customWidth="1"/>
    <col min="15872" max="15872" width="16.85546875" style="40" bestFit="1" customWidth="1"/>
    <col min="15873" max="15874" width="14.5703125" style="40" bestFit="1" customWidth="1"/>
    <col min="15875" max="16121" width="11.42578125" style="40"/>
    <col min="16122" max="16122" width="45.28515625" style="40" customWidth="1"/>
    <col min="16123" max="16123" width="11.140625" style="40" customWidth="1"/>
    <col min="16124" max="16124" width="18" style="40" customWidth="1"/>
    <col min="16125" max="16125" width="19.140625" style="40" customWidth="1"/>
    <col min="16126" max="16126" width="8.28515625" style="40" bestFit="1" customWidth="1"/>
    <col min="16127" max="16127" width="0" style="40" hidden="1" customWidth="1"/>
    <col min="16128" max="16128" width="16.85546875" style="40" bestFit="1" customWidth="1"/>
    <col min="16129" max="16130" width="14.5703125" style="40" bestFit="1" customWidth="1"/>
    <col min="16131" max="16384" width="11.42578125" style="40"/>
  </cols>
  <sheetData>
    <row r="1" spans="1:7" hidden="1" x14ac:dyDescent="0.2">
      <c r="A1" s="119"/>
      <c r="B1" s="334"/>
      <c r="C1" s="339"/>
      <c r="D1" s="340"/>
      <c r="E1" s="339"/>
      <c r="F1" s="339"/>
      <c r="G1" s="339"/>
    </row>
    <row r="2" spans="1:7" hidden="1" x14ac:dyDescent="0.2">
      <c r="A2" s="119"/>
      <c r="B2" s="334"/>
      <c r="C2" s="339"/>
      <c r="D2" s="340"/>
      <c r="E2" s="339"/>
      <c r="F2" s="339"/>
      <c r="G2" s="339"/>
    </row>
    <row r="3" spans="1:7" hidden="1" x14ac:dyDescent="0.2">
      <c r="A3" s="119"/>
      <c r="B3" s="334"/>
      <c r="C3" s="339"/>
      <c r="D3" s="340"/>
      <c r="E3" s="339"/>
      <c r="F3" s="339"/>
      <c r="G3" s="339"/>
    </row>
    <row r="4" spans="1:7" hidden="1" x14ac:dyDescent="0.2">
      <c r="A4" s="119"/>
      <c r="B4" s="334"/>
      <c r="C4" s="339"/>
      <c r="D4" s="340"/>
      <c r="E4" s="339"/>
      <c r="F4" s="339"/>
      <c r="G4" s="339"/>
    </row>
    <row r="5" spans="1:7" hidden="1" x14ac:dyDescent="0.2">
      <c r="A5" s="119"/>
      <c r="B5" s="334"/>
      <c r="C5" s="339"/>
      <c r="D5" s="340"/>
      <c r="E5" s="339"/>
      <c r="F5" s="339"/>
      <c r="G5" s="339"/>
    </row>
    <row r="6" spans="1:7" hidden="1" x14ac:dyDescent="0.2">
      <c r="A6" s="119"/>
      <c r="B6" s="334"/>
      <c r="C6" s="339"/>
      <c r="D6" s="340"/>
      <c r="E6" s="339"/>
      <c r="F6" s="339"/>
      <c r="G6" s="339"/>
    </row>
    <row r="7" spans="1:7" hidden="1" x14ac:dyDescent="0.2">
      <c r="A7" s="119"/>
      <c r="B7" s="334"/>
      <c r="C7" s="339"/>
      <c r="D7" s="340"/>
      <c r="E7" s="339"/>
      <c r="F7" s="339"/>
      <c r="G7" s="339"/>
    </row>
    <row r="8" spans="1:7" x14ac:dyDescent="0.2">
      <c r="A8" s="119"/>
      <c r="B8" s="334"/>
      <c r="C8" s="339"/>
      <c r="D8" s="340"/>
      <c r="E8" s="339"/>
      <c r="F8" s="339"/>
      <c r="G8" s="339"/>
    </row>
    <row r="9" spans="1:7" x14ac:dyDescent="0.2">
      <c r="A9" s="119"/>
      <c r="B9" s="334"/>
      <c r="C9" s="339"/>
      <c r="D9" s="340"/>
      <c r="E9" s="339"/>
      <c r="F9" s="339"/>
      <c r="G9" s="339"/>
    </row>
    <row r="10" spans="1:7" x14ac:dyDescent="0.2">
      <c r="A10" s="381" t="s">
        <v>0</v>
      </c>
      <c r="B10" s="381"/>
      <c r="C10" s="381"/>
      <c r="D10" s="381"/>
      <c r="E10" s="381"/>
      <c r="F10" s="381"/>
      <c r="G10" s="381"/>
    </row>
    <row r="11" spans="1:7" x14ac:dyDescent="0.2">
      <c r="A11" s="381" t="s">
        <v>1</v>
      </c>
      <c r="B11" s="381"/>
      <c r="C11" s="381"/>
      <c r="D11" s="381"/>
      <c r="E11" s="381"/>
      <c r="F11" s="381"/>
      <c r="G11" s="381"/>
    </row>
    <row r="12" spans="1:7" x14ac:dyDescent="0.2">
      <c r="A12" s="334"/>
      <c r="B12" s="334"/>
      <c r="C12" s="119"/>
      <c r="D12" s="119"/>
      <c r="E12" s="119"/>
      <c r="F12" s="339"/>
      <c r="G12" s="339"/>
    </row>
    <row r="13" spans="1:7" x14ac:dyDescent="0.2">
      <c r="A13" s="381" t="s">
        <v>2</v>
      </c>
      <c r="B13" s="381"/>
      <c r="C13" s="381"/>
      <c r="D13" s="381"/>
      <c r="E13" s="381"/>
      <c r="F13" s="381"/>
      <c r="G13" s="381"/>
    </row>
    <row r="14" spans="1:7" x14ac:dyDescent="0.2">
      <c r="A14" s="128"/>
      <c r="B14" s="334"/>
      <c r="C14" s="339"/>
      <c r="D14" s="340"/>
      <c r="E14" s="339"/>
      <c r="F14" s="339"/>
      <c r="G14" s="339"/>
    </row>
    <row r="15" spans="1:7" ht="14.25" customHeight="1" x14ac:dyDescent="0.2">
      <c r="A15" s="382" t="s">
        <v>1633</v>
      </c>
      <c r="B15" s="382"/>
      <c r="C15" s="382"/>
      <c r="D15" s="382"/>
      <c r="E15" s="382"/>
      <c r="F15" s="382"/>
      <c r="G15" s="382"/>
    </row>
    <row r="16" spans="1:7" ht="14.25" customHeight="1" x14ac:dyDescent="0.2">
      <c r="A16" s="382" t="s">
        <v>1904</v>
      </c>
      <c r="B16" s="382"/>
      <c r="C16" s="382"/>
      <c r="D16" s="382"/>
      <c r="E16" s="382"/>
      <c r="F16" s="382"/>
      <c r="G16" s="382"/>
    </row>
    <row r="17" spans="1:7" ht="15" x14ac:dyDescent="0.25">
      <c r="A17" s="379" t="s">
        <v>1634</v>
      </c>
      <c r="B17" s="379"/>
      <c r="C17" s="379"/>
      <c r="D17" s="379"/>
      <c r="E17" s="379"/>
      <c r="F17" s="379"/>
      <c r="G17" s="379"/>
    </row>
    <row r="18" spans="1:7" x14ac:dyDescent="0.2">
      <c r="A18" s="334"/>
      <c r="B18" s="334"/>
      <c r="C18" s="339"/>
      <c r="D18" s="340"/>
      <c r="E18" s="339"/>
      <c r="F18" s="339"/>
      <c r="G18" s="339"/>
    </row>
    <row r="19" spans="1:7" ht="15" x14ac:dyDescent="0.25">
      <c r="A19" s="380" t="s">
        <v>1635</v>
      </c>
      <c r="B19" s="380"/>
      <c r="C19" s="380"/>
      <c r="D19" s="380"/>
      <c r="E19" s="380"/>
      <c r="F19" s="380"/>
      <c r="G19" s="380"/>
    </row>
    <row r="20" spans="1:7" ht="15" hidden="1" customHeight="1" x14ac:dyDescent="0.25">
      <c r="A20" s="341"/>
      <c r="B20" s="337"/>
      <c r="C20" s="339"/>
      <c r="D20" s="340"/>
      <c r="E20" s="339"/>
      <c r="F20" s="339"/>
      <c r="G20" s="339"/>
    </row>
    <row r="21" spans="1:7" x14ac:dyDescent="0.2">
      <c r="A21" s="119"/>
      <c r="B21" s="334"/>
      <c r="C21" s="339"/>
      <c r="D21" s="342"/>
      <c r="E21" s="339"/>
      <c r="F21" s="339"/>
      <c r="G21" s="339"/>
    </row>
    <row r="22" spans="1:7" ht="34.5" x14ac:dyDescent="0.25">
      <c r="A22" s="117"/>
      <c r="B22" s="334"/>
      <c r="C22" s="339"/>
      <c r="D22" s="343"/>
      <c r="E22" s="115">
        <v>44104</v>
      </c>
      <c r="F22" s="339"/>
      <c r="G22" s="344" t="s">
        <v>1798</v>
      </c>
    </row>
    <row r="23" spans="1:7" ht="14.25" hidden="1" customHeight="1" x14ac:dyDescent="0.2">
      <c r="A23" s="119"/>
      <c r="B23" s="334"/>
      <c r="C23" s="339"/>
      <c r="D23" s="343"/>
      <c r="E23" s="334"/>
      <c r="F23" s="339"/>
      <c r="G23" s="334"/>
    </row>
    <row r="24" spans="1:7" x14ac:dyDescent="0.2">
      <c r="A24" s="119"/>
      <c r="B24" s="334"/>
      <c r="C24" s="339"/>
      <c r="D24" s="340"/>
      <c r="E24" s="116"/>
      <c r="F24" s="339"/>
      <c r="G24" s="116"/>
    </row>
    <row r="25" spans="1:7" ht="15" x14ac:dyDescent="0.25">
      <c r="A25" s="129" t="s">
        <v>63</v>
      </c>
      <c r="B25" s="345"/>
      <c r="C25" s="339"/>
      <c r="D25" s="346"/>
      <c r="E25" s="44">
        <f>E27+E33+E44+E46+E42</f>
        <v>17892.42136</v>
      </c>
      <c r="F25" s="339"/>
      <c r="G25" s="110">
        <f>G27+G33+G44+G46+G42</f>
        <v>9912.3299200000001</v>
      </c>
    </row>
    <row r="26" spans="1:7" ht="15" x14ac:dyDescent="0.25">
      <c r="A26" s="129"/>
      <c r="B26" s="337"/>
      <c r="C26" s="339"/>
      <c r="D26" s="346"/>
      <c r="E26" s="337"/>
      <c r="F26" s="339"/>
      <c r="G26" s="337"/>
    </row>
    <row r="27" spans="1:7" ht="15" x14ac:dyDescent="0.25">
      <c r="A27" s="119" t="s">
        <v>1636</v>
      </c>
      <c r="B27" s="336" t="s">
        <v>1637</v>
      </c>
      <c r="C27" s="339"/>
      <c r="D27" s="346"/>
      <c r="E27" s="117">
        <f>SUM(E29:E31)</f>
        <v>9857.1491900000001</v>
      </c>
      <c r="F27" s="339"/>
      <c r="G27" s="118">
        <f>SUM(G29:G31)</f>
        <v>3326.9401700000003</v>
      </c>
    </row>
    <row r="28" spans="1:7" ht="15" x14ac:dyDescent="0.25">
      <c r="A28" s="119"/>
      <c r="B28" s="336"/>
      <c r="C28" s="339"/>
      <c r="D28" s="346"/>
      <c r="E28" s="336"/>
      <c r="F28" s="339"/>
      <c r="G28" s="336"/>
    </row>
    <row r="29" spans="1:7" x14ac:dyDescent="0.2">
      <c r="A29" s="119" t="s">
        <v>1638</v>
      </c>
      <c r="B29" s="334"/>
      <c r="C29" s="339"/>
      <c r="D29" s="347" t="s">
        <v>1639</v>
      </c>
      <c r="E29" s="45">
        <f>9857.14919-E30</f>
        <v>1172.9054099999994</v>
      </c>
      <c r="F29" s="339"/>
      <c r="G29" s="111">
        <f>(1599.31+0+452766.94+2659.77+771.18)/1000</f>
        <v>457.79720000000003</v>
      </c>
    </row>
    <row r="30" spans="1:7" ht="15" x14ac:dyDescent="0.25">
      <c r="A30" s="119" t="s">
        <v>1640</v>
      </c>
      <c r="B30" s="336"/>
      <c r="C30" s="339"/>
      <c r="D30" s="346" t="s">
        <v>1425</v>
      </c>
      <c r="E30" s="45">
        <v>8684.2437800000007</v>
      </c>
      <c r="F30" s="339"/>
      <c r="G30" s="111">
        <f>2869142.97/1000</f>
        <v>2869.1429700000003</v>
      </c>
    </row>
    <row r="31" spans="1:7" ht="15" hidden="1" customHeight="1" x14ac:dyDescent="0.25">
      <c r="A31" s="119" t="s">
        <v>1641</v>
      </c>
      <c r="B31" s="336"/>
      <c r="C31" s="339"/>
      <c r="D31" s="346" t="s">
        <v>1642</v>
      </c>
      <c r="E31" s="45">
        <v>0</v>
      </c>
      <c r="F31" s="339"/>
      <c r="G31" s="111">
        <v>0</v>
      </c>
    </row>
    <row r="32" spans="1:7" ht="15" x14ac:dyDescent="0.25">
      <c r="A32" s="119"/>
      <c r="B32" s="336"/>
      <c r="C32" s="339"/>
      <c r="D32" s="340"/>
      <c r="E32" s="336"/>
      <c r="F32" s="339"/>
      <c r="G32" s="336"/>
    </row>
    <row r="33" spans="1:7" ht="15" x14ac:dyDescent="0.25">
      <c r="A33" s="119" t="s">
        <v>1643</v>
      </c>
      <c r="B33" s="336"/>
      <c r="C33" s="339"/>
      <c r="D33" s="346"/>
      <c r="E33" s="44">
        <f>SUM(E35:E40)</f>
        <v>5914.31819</v>
      </c>
      <c r="F33" s="339"/>
      <c r="G33" s="110">
        <f>SUM(G35:G40)</f>
        <v>5339.1362499999987</v>
      </c>
    </row>
    <row r="34" spans="1:7" ht="15" x14ac:dyDescent="0.25">
      <c r="A34" s="119"/>
      <c r="B34" s="336"/>
      <c r="C34" s="339"/>
      <c r="D34" s="346"/>
      <c r="E34" s="336"/>
      <c r="F34" s="339"/>
      <c r="G34" s="336"/>
    </row>
    <row r="35" spans="1:7" ht="15" hidden="1" customHeight="1" x14ac:dyDescent="0.25">
      <c r="A35" s="119" t="s">
        <v>1644</v>
      </c>
      <c r="B35" s="336"/>
      <c r="C35" s="339"/>
      <c r="D35" s="340"/>
      <c r="E35" s="336"/>
      <c r="F35" s="339"/>
      <c r="G35" s="336"/>
    </row>
    <row r="36" spans="1:7" ht="15" x14ac:dyDescent="0.25">
      <c r="A36" s="119" t="s">
        <v>1645</v>
      </c>
      <c r="B36" s="336" t="s">
        <v>1646</v>
      </c>
      <c r="C36" s="339"/>
      <c r="D36" s="347"/>
      <c r="E36" s="45">
        <v>4810.1984499999999</v>
      </c>
      <c r="F36" s="339"/>
      <c r="G36" s="111">
        <f>(5003798.17)/1000-(328283.25/1000)</f>
        <v>4675.5149199999996</v>
      </c>
    </row>
    <row r="37" spans="1:7" ht="15" x14ac:dyDescent="0.25">
      <c r="A37" s="119" t="s">
        <v>1647</v>
      </c>
      <c r="B37" s="336"/>
      <c r="C37" s="348"/>
      <c r="D37" s="346"/>
      <c r="E37" s="45">
        <v>93.457499999999996</v>
      </c>
      <c r="F37" s="339"/>
      <c r="G37" s="111">
        <f>116.40514</f>
        <v>116.40514</v>
      </c>
    </row>
    <row r="38" spans="1:7" ht="15" x14ac:dyDescent="0.25">
      <c r="A38" s="119" t="s">
        <v>1648</v>
      </c>
      <c r="B38" s="336"/>
      <c r="C38" s="339"/>
      <c r="D38" s="346"/>
      <c r="E38" s="45">
        <v>602.7568</v>
      </c>
      <c r="F38" s="339"/>
      <c r="G38" s="111">
        <f>175546.99/1000</f>
        <v>175.54698999999999</v>
      </c>
    </row>
    <row r="39" spans="1:7" ht="15" x14ac:dyDescent="0.25">
      <c r="A39" s="119" t="s">
        <v>1649</v>
      </c>
      <c r="B39" s="336" t="s">
        <v>1650</v>
      </c>
      <c r="C39" s="339"/>
      <c r="D39" s="346"/>
      <c r="E39" s="45">
        <v>366.46544</v>
      </c>
      <c r="F39" s="339"/>
      <c r="G39" s="111">
        <f>330229.2/1000</f>
        <v>330.22919999999999</v>
      </c>
    </row>
    <row r="40" spans="1:7" ht="15" x14ac:dyDescent="0.25">
      <c r="A40" s="119" t="s">
        <v>1651</v>
      </c>
      <c r="B40" s="336" t="s">
        <v>1652</v>
      </c>
      <c r="C40" s="339"/>
      <c r="D40" s="346" t="s">
        <v>1426</v>
      </c>
      <c r="E40" s="45">
        <v>41.44</v>
      </c>
      <c r="F40" s="339"/>
      <c r="G40" s="111">
        <v>41.44</v>
      </c>
    </row>
    <row r="41" spans="1:7" ht="15" x14ac:dyDescent="0.25">
      <c r="A41" s="119"/>
      <c r="B41" s="336"/>
      <c r="C41" s="339"/>
      <c r="D41" s="346"/>
      <c r="E41" s="45"/>
      <c r="F41" s="339"/>
      <c r="G41" s="111"/>
    </row>
    <row r="42" spans="1:7" ht="15" x14ac:dyDescent="0.25">
      <c r="A42" s="119" t="s">
        <v>1653</v>
      </c>
      <c r="B42" s="336" t="s">
        <v>1654</v>
      </c>
      <c r="C42" s="339"/>
      <c r="D42" s="346" t="s">
        <v>1427</v>
      </c>
      <c r="E42" s="45">
        <v>1930.7927299999999</v>
      </c>
      <c r="F42" s="339"/>
      <c r="G42" s="111">
        <f>958.99127</f>
        <v>958.99126999999999</v>
      </c>
    </row>
    <row r="43" spans="1:7" ht="15" x14ac:dyDescent="0.25">
      <c r="A43" s="119"/>
      <c r="B43" s="336"/>
      <c r="C43" s="339"/>
      <c r="D43" s="346"/>
      <c r="E43" s="334"/>
      <c r="F43" s="339"/>
      <c r="G43" s="111"/>
    </row>
    <row r="44" spans="1:7" ht="15" x14ac:dyDescent="0.25">
      <c r="A44" s="119" t="s">
        <v>1655</v>
      </c>
      <c r="B44" s="336"/>
      <c r="C44" s="339"/>
      <c r="D44" s="346"/>
      <c r="E44" s="45">
        <v>54.313069999999996</v>
      </c>
      <c r="F44" s="339"/>
      <c r="G44" s="111">
        <f>62.09526</f>
        <v>62.095260000000003</v>
      </c>
    </row>
    <row r="45" spans="1:7" ht="15" x14ac:dyDescent="0.25">
      <c r="A45" s="119"/>
      <c r="B45" s="336"/>
      <c r="C45" s="339"/>
      <c r="D45" s="346"/>
      <c r="E45" s="45"/>
      <c r="F45" s="339"/>
      <c r="G45" s="111"/>
    </row>
    <row r="46" spans="1:7" ht="15" x14ac:dyDescent="0.25">
      <c r="A46" s="119" t="s">
        <v>1656</v>
      </c>
      <c r="B46" s="336"/>
      <c r="C46" s="339"/>
      <c r="D46" s="347" t="s">
        <v>1428</v>
      </c>
      <c r="E46" s="45">
        <v>135.84817999999999</v>
      </c>
      <c r="F46" s="339"/>
      <c r="G46" s="111">
        <f>225.16697</f>
        <v>225.16696999999999</v>
      </c>
    </row>
    <row r="47" spans="1:7" x14ac:dyDescent="0.2">
      <c r="A47" s="119"/>
      <c r="B47" s="334"/>
      <c r="C47" s="339"/>
      <c r="D47" s="346"/>
      <c r="E47" s="334"/>
      <c r="F47" s="339"/>
      <c r="G47" s="334"/>
    </row>
    <row r="48" spans="1:7" x14ac:dyDescent="0.2">
      <c r="A48" s="119"/>
      <c r="B48" s="334"/>
      <c r="C48" s="349"/>
      <c r="D48" s="347" t="s">
        <v>1429</v>
      </c>
      <c r="E48" s="334"/>
      <c r="F48" s="339"/>
      <c r="G48" s="334"/>
    </row>
    <row r="49" spans="1:7" ht="15" x14ac:dyDescent="0.25">
      <c r="A49" s="129" t="s">
        <v>209</v>
      </c>
      <c r="B49" s="337"/>
      <c r="C49" s="339"/>
      <c r="D49" s="346"/>
      <c r="E49" s="44">
        <f>E51+E56+E58+E60</f>
        <v>292194.24402000004</v>
      </c>
      <c r="F49" s="339"/>
      <c r="G49" s="110">
        <f>G51+G56+G58+G60</f>
        <v>303215.53841000004</v>
      </c>
    </row>
    <row r="50" spans="1:7" ht="15" x14ac:dyDescent="0.25">
      <c r="A50" s="119"/>
      <c r="B50" s="336"/>
      <c r="C50" s="339"/>
      <c r="D50" s="347" t="s">
        <v>1430</v>
      </c>
      <c r="E50" s="336"/>
      <c r="F50" s="339"/>
      <c r="G50" s="336"/>
    </row>
    <row r="51" spans="1:7" ht="15" x14ac:dyDescent="0.25">
      <c r="A51" s="119" t="s">
        <v>1657</v>
      </c>
      <c r="B51" s="336" t="s">
        <v>1658</v>
      </c>
      <c r="C51" s="339"/>
      <c r="D51" s="346"/>
      <c r="E51" s="44">
        <f>SUM(E53:E54)</f>
        <v>732.69536000000005</v>
      </c>
      <c r="F51" s="339"/>
      <c r="G51" s="110">
        <f>SUM(G53:G54)</f>
        <v>604.73211000000003</v>
      </c>
    </row>
    <row r="52" spans="1:7" ht="15" x14ac:dyDescent="0.25">
      <c r="A52" s="119"/>
      <c r="B52" s="336"/>
      <c r="C52" s="339"/>
      <c r="D52" s="346"/>
      <c r="E52" s="336"/>
      <c r="F52" s="339"/>
      <c r="G52" s="336"/>
    </row>
    <row r="53" spans="1:7" ht="15" x14ac:dyDescent="0.25">
      <c r="A53" s="119" t="s">
        <v>1659</v>
      </c>
      <c r="B53" s="336" t="s">
        <v>1660</v>
      </c>
      <c r="C53" s="339"/>
      <c r="D53" s="346"/>
      <c r="E53" s="45">
        <v>659.30789000000004</v>
      </c>
      <c r="F53" s="339"/>
      <c r="G53" s="111">
        <f>531.34464</f>
        <v>531.34464000000003</v>
      </c>
    </row>
    <row r="54" spans="1:7" ht="15" x14ac:dyDescent="0.25">
      <c r="A54" s="119" t="s">
        <v>1645</v>
      </c>
      <c r="B54" s="336" t="s">
        <v>1661</v>
      </c>
      <c r="C54" s="339"/>
      <c r="D54" s="346"/>
      <c r="E54" s="45">
        <v>73.387470000000008</v>
      </c>
      <c r="F54" s="339"/>
      <c r="G54" s="111">
        <f>73.38747</f>
        <v>73.387469999999993</v>
      </c>
    </row>
    <row r="55" spans="1:7" ht="15" x14ac:dyDescent="0.25">
      <c r="A55" s="129"/>
      <c r="B55" s="337"/>
      <c r="C55" s="339"/>
      <c r="D55" s="346"/>
      <c r="E55" s="337"/>
      <c r="F55" s="339"/>
      <c r="G55" s="337"/>
    </row>
    <row r="56" spans="1:7" ht="15" customHeight="1" x14ac:dyDescent="0.25">
      <c r="A56" s="119" t="s">
        <v>1662</v>
      </c>
      <c r="B56" s="336" t="s">
        <v>1663</v>
      </c>
      <c r="C56" s="339"/>
      <c r="D56" s="346"/>
      <c r="E56" s="44">
        <v>12.20391</v>
      </c>
      <c r="F56" s="339"/>
      <c r="G56" s="110">
        <v>12.20391</v>
      </c>
    </row>
    <row r="57" spans="1:7" ht="15" customHeight="1" x14ac:dyDescent="0.25">
      <c r="A57" s="119"/>
      <c r="B57" s="336"/>
      <c r="C57" s="339"/>
      <c r="D57" s="346"/>
      <c r="E57" s="336"/>
      <c r="F57" s="339"/>
      <c r="G57" s="336"/>
    </row>
    <row r="58" spans="1:7" ht="15" x14ac:dyDescent="0.25">
      <c r="A58" s="119" t="s">
        <v>1664</v>
      </c>
      <c r="B58" s="336" t="s">
        <v>1665</v>
      </c>
      <c r="C58" s="339"/>
      <c r="D58" s="347" t="s">
        <v>1431</v>
      </c>
      <c r="E58" s="44">
        <v>290555.43291000003</v>
      </c>
      <c r="F58" s="339"/>
      <c r="G58" s="110">
        <f>301594.03073</f>
        <v>301594.03073</v>
      </c>
    </row>
    <row r="59" spans="1:7" ht="15" x14ac:dyDescent="0.25">
      <c r="A59" s="119"/>
      <c r="B59" s="336"/>
      <c r="C59" s="339"/>
      <c r="D59" s="346"/>
      <c r="E59" s="336"/>
      <c r="F59" s="339"/>
      <c r="G59" s="336"/>
    </row>
    <row r="60" spans="1:7" ht="15" x14ac:dyDescent="0.25">
      <c r="A60" s="119" t="s">
        <v>1666</v>
      </c>
      <c r="B60" s="336" t="s">
        <v>1667</v>
      </c>
      <c r="C60" s="339"/>
      <c r="D60" s="347" t="s">
        <v>1432</v>
      </c>
      <c r="E60" s="44">
        <v>893.91183999999998</v>
      </c>
      <c r="F60" s="339"/>
      <c r="G60" s="110">
        <v>1004.57166</v>
      </c>
    </row>
    <row r="61" spans="1:7" x14ac:dyDescent="0.2">
      <c r="A61" s="119"/>
      <c r="B61" s="334"/>
      <c r="C61" s="339"/>
      <c r="D61" s="346"/>
      <c r="E61" s="334"/>
      <c r="F61" s="339"/>
      <c r="G61" s="334"/>
    </row>
    <row r="62" spans="1:7" ht="15" x14ac:dyDescent="0.25">
      <c r="A62" s="129" t="s">
        <v>455</v>
      </c>
      <c r="B62" s="334"/>
      <c r="C62" s="339"/>
      <c r="D62" s="347" t="s">
        <v>1433</v>
      </c>
      <c r="E62" s="334"/>
      <c r="F62" s="339"/>
      <c r="G62" s="334"/>
    </row>
    <row r="63" spans="1:7" ht="15" x14ac:dyDescent="0.25">
      <c r="A63" s="129"/>
      <c r="B63" s="334"/>
      <c r="C63" s="339"/>
      <c r="D63" s="347"/>
      <c r="E63" s="334"/>
      <c r="F63" s="339"/>
      <c r="G63" s="334"/>
    </row>
    <row r="64" spans="1:7" ht="15" x14ac:dyDescent="0.25">
      <c r="A64" s="119" t="s">
        <v>1668</v>
      </c>
      <c r="B64" s="336" t="s">
        <v>1718</v>
      </c>
      <c r="C64" s="339"/>
      <c r="D64" s="346"/>
      <c r="E64" s="44">
        <v>1236.71749</v>
      </c>
      <c r="F64" s="339"/>
      <c r="G64" s="110">
        <v>1236.71749</v>
      </c>
    </row>
    <row r="65" spans="1:7" ht="15" x14ac:dyDescent="0.25">
      <c r="A65" s="129"/>
      <c r="B65" s="334"/>
      <c r="C65" s="339"/>
      <c r="D65" s="346"/>
      <c r="E65" s="334"/>
      <c r="F65" s="339"/>
      <c r="G65" s="334"/>
    </row>
    <row r="66" spans="1:7" x14ac:dyDescent="0.2">
      <c r="A66" s="119"/>
      <c r="B66" s="334"/>
      <c r="C66" s="339"/>
      <c r="D66" s="347" t="s">
        <v>1434</v>
      </c>
      <c r="E66" s="334"/>
      <c r="F66" s="339"/>
      <c r="G66" s="334"/>
    </row>
    <row r="67" spans="1:7" ht="15" x14ac:dyDescent="0.25">
      <c r="A67" s="129" t="s">
        <v>1669</v>
      </c>
      <c r="B67" s="337"/>
      <c r="C67" s="339"/>
      <c r="D67" s="346"/>
      <c r="E67" s="46">
        <f>E25+E49+E64</f>
        <v>311323.38287000003</v>
      </c>
      <c r="F67" s="339"/>
      <c r="G67" s="113">
        <f>G25+G49+G64</f>
        <v>314364.58582000004</v>
      </c>
    </row>
    <row r="68" spans="1:7" ht="15" x14ac:dyDescent="0.25">
      <c r="A68" s="129"/>
      <c r="B68" s="337"/>
      <c r="C68" s="339"/>
      <c r="D68" s="346"/>
      <c r="E68" s="339"/>
      <c r="F68" s="339"/>
      <c r="G68" s="339"/>
    </row>
    <row r="69" spans="1:7" ht="15" x14ac:dyDescent="0.25">
      <c r="A69" s="129"/>
      <c r="B69" s="337"/>
      <c r="C69" s="339"/>
      <c r="D69" s="346"/>
      <c r="E69" s="339"/>
      <c r="F69" s="339"/>
      <c r="G69" s="339"/>
    </row>
    <row r="70" spans="1:7" x14ac:dyDescent="0.2">
      <c r="A70" s="381" t="s">
        <v>53</v>
      </c>
      <c r="B70" s="381"/>
      <c r="C70" s="381"/>
      <c r="D70" s="381"/>
      <c r="E70" s="381"/>
      <c r="F70" s="381"/>
      <c r="G70" s="381"/>
    </row>
    <row r="71" spans="1:7" x14ac:dyDescent="0.2">
      <c r="A71" s="119"/>
      <c r="B71" s="334"/>
      <c r="C71" s="339"/>
      <c r="D71" s="346"/>
      <c r="E71" s="339"/>
      <c r="F71" s="339"/>
      <c r="G71" s="339"/>
    </row>
    <row r="72" spans="1:7" x14ac:dyDescent="0.2">
      <c r="A72" s="119"/>
      <c r="B72" s="334"/>
      <c r="C72" s="339"/>
      <c r="D72" s="340"/>
      <c r="E72" s="339"/>
      <c r="F72" s="339"/>
      <c r="G72" s="339"/>
    </row>
  </sheetData>
  <mergeCells count="8">
    <mergeCell ref="A10:G10"/>
    <mergeCell ref="A11:G11"/>
    <mergeCell ref="A13:G13"/>
    <mergeCell ref="A17:G17"/>
    <mergeCell ref="A19:G19"/>
    <mergeCell ref="A70:G70"/>
    <mergeCell ref="A15:G15"/>
    <mergeCell ref="A16:G16"/>
  </mergeCells>
  <printOptions horizontalCentered="1"/>
  <pageMargins left="1.1811023622047245" right="0.78740157480314965" top="1.6535433070866143" bottom="0.47244094488188981" header="1.1811023622047245" footer="0.35433070866141736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opLeftCell="A2" zoomScale="122" zoomScaleNormal="100" zoomScaleSheetLayoutView="100" workbookViewId="0">
      <selection activeCell="A13" sqref="A13:E13"/>
    </sheetView>
  </sheetViews>
  <sheetFormatPr defaultColWidth="11.42578125" defaultRowHeight="14.25" x14ac:dyDescent="0.2"/>
  <cols>
    <col min="1" max="1" width="48.28515625" style="40" customWidth="1"/>
    <col min="2" max="2" width="11.5703125" style="40" customWidth="1"/>
    <col min="3" max="3" width="14.85546875" style="40" bestFit="1" customWidth="1"/>
    <col min="4" max="4" width="3.42578125" style="40" customWidth="1"/>
    <col min="5" max="5" width="14.85546875" style="40" customWidth="1"/>
    <col min="6" max="211" width="11.42578125" style="40"/>
    <col min="212" max="212" width="48.28515625" style="40" customWidth="1"/>
    <col min="213" max="214" width="11.5703125" style="40" customWidth="1"/>
    <col min="215" max="215" width="15.7109375" style="40" customWidth="1"/>
    <col min="216" max="216" width="14.42578125" style="40" customWidth="1"/>
    <col min="217" max="217" width="0" style="40" hidden="1" customWidth="1"/>
    <col min="218" max="218" width="3.28515625" style="40" customWidth="1"/>
    <col min="219" max="219" width="0" style="40" hidden="1" customWidth="1"/>
    <col min="220" max="220" width="14.85546875" style="40" bestFit="1" customWidth="1"/>
    <col min="221" max="221" width="11.5703125" style="40" bestFit="1" customWidth="1"/>
    <col min="222" max="222" width="11.42578125" style="40"/>
    <col min="223" max="223" width="17.7109375" style="40" bestFit="1" customWidth="1"/>
    <col min="224" max="467" width="11.42578125" style="40"/>
    <col min="468" max="468" width="48.28515625" style="40" customWidth="1"/>
    <col min="469" max="470" width="11.5703125" style="40" customWidth="1"/>
    <col min="471" max="471" width="15.7109375" style="40" customWidth="1"/>
    <col min="472" max="472" width="14.42578125" style="40" customWidth="1"/>
    <col min="473" max="473" width="0" style="40" hidden="1" customWidth="1"/>
    <col min="474" max="474" width="3.28515625" style="40" customWidth="1"/>
    <col min="475" max="475" width="0" style="40" hidden="1" customWidth="1"/>
    <col min="476" max="476" width="14.85546875" style="40" bestFit="1" customWidth="1"/>
    <col min="477" max="477" width="11.5703125" style="40" bestFit="1" customWidth="1"/>
    <col min="478" max="478" width="11.42578125" style="40"/>
    <col min="479" max="479" width="17.7109375" style="40" bestFit="1" customWidth="1"/>
    <col min="480" max="723" width="11.42578125" style="40"/>
    <col min="724" max="724" width="48.28515625" style="40" customWidth="1"/>
    <col min="725" max="726" width="11.5703125" style="40" customWidth="1"/>
    <col min="727" max="727" width="15.7109375" style="40" customWidth="1"/>
    <col min="728" max="728" width="14.42578125" style="40" customWidth="1"/>
    <col min="729" max="729" width="0" style="40" hidden="1" customWidth="1"/>
    <col min="730" max="730" width="3.28515625" style="40" customWidth="1"/>
    <col min="731" max="731" width="0" style="40" hidden="1" customWidth="1"/>
    <col min="732" max="732" width="14.85546875" style="40" bestFit="1" customWidth="1"/>
    <col min="733" max="733" width="11.5703125" style="40" bestFit="1" customWidth="1"/>
    <col min="734" max="734" width="11.42578125" style="40"/>
    <col min="735" max="735" width="17.7109375" style="40" bestFit="1" customWidth="1"/>
    <col min="736" max="979" width="11.42578125" style="40"/>
    <col min="980" max="980" width="48.28515625" style="40" customWidth="1"/>
    <col min="981" max="982" width="11.5703125" style="40" customWidth="1"/>
    <col min="983" max="983" width="15.7109375" style="40" customWidth="1"/>
    <col min="984" max="984" width="14.42578125" style="40" customWidth="1"/>
    <col min="985" max="985" width="0" style="40" hidden="1" customWidth="1"/>
    <col min="986" max="986" width="3.28515625" style="40" customWidth="1"/>
    <col min="987" max="987" width="0" style="40" hidden="1" customWidth="1"/>
    <col min="988" max="988" width="14.85546875" style="40" bestFit="1" customWidth="1"/>
    <col min="989" max="989" width="11.5703125" style="40" bestFit="1" customWidth="1"/>
    <col min="990" max="990" width="11.42578125" style="40"/>
    <col min="991" max="991" width="17.7109375" style="40" bestFit="1" customWidth="1"/>
    <col min="992" max="1235" width="11.42578125" style="40"/>
    <col min="1236" max="1236" width="48.28515625" style="40" customWidth="1"/>
    <col min="1237" max="1238" width="11.5703125" style="40" customWidth="1"/>
    <col min="1239" max="1239" width="15.7109375" style="40" customWidth="1"/>
    <col min="1240" max="1240" width="14.42578125" style="40" customWidth="1"/>
    <col min="1241" max="1241" width="0" style="40" hidden="1" customWidth="1"/>
    <col min="1242" max="1242" width="3.28515625" style="40" customWidth="1"/>
    <col min="1243" max="1243" width="0" style="40" hidden="1" customWidth="1"/>
    <col min="1244" max="1244" width="14.85546875" style="40" bestFit="1" customWidth="1"/>
    <col min="1245" max="1245" width="11.5703125" style="40" bestFit="1" customWidth="1"/>
    <col min="1246" max="1246" width="11.42578125" style="40"/>
    <col min="1247" max="1247" width="17.7109375" style="40" bestFit="1" customWidth="1"/>
    <col min="1248" max="1491" width="11.42578125" style="40"/>
    <col min="1492" max="1492" width="48.28515625" style="40" customWidth="1"/>
    <col min="1493" max="1494" width="11.5703125" style="40" customWidth="1"/>
    <col min="1495" max="1495" width="15.7109375" style="40" customWidth="1"/>
    <col min="1496" max="1496" width="14.42578125" style="40" customWidth="1"/>
    <col min="1497" max="1497" width="0" style="40" hidden="1" customWidth="1"/>
    <col min="1498" max="1498" width="3.28515625" style="40" customWidth="1"/>
    <col min="1499" max="1499" width="0" style="40" hidden="1" customWidth="1"/>
    <col min="1500" max="1500" width="14.85546875" style="40" bestFit="1" customWidth="1"/>
    <col min="1501" max="1501" width="11.5703125" style="40" bestFit="1" customWidth="1"/>
    <col min="1502" max="1502" width="11.42578125" style="40"/>
    <col min="1503" max="1503" width="17.7109375" style="40" bestFit="1" customWidth="1"/>
    <col min="1504" max="1747" width="11.42578125" style="40"/>
    <col min="1748" max="1748" width="48.28515625" style="40" customWidth="1"/>
    <col min="1749" max="1750" width="11.5703125" style="40" customWidth="1"/>
    <col min="1751" max="1751" width="15.7109375" style="40" customWidth="1"/>
    <col min="1752" max="1752" width="14.42578125" style="40" customWidth="1"/>
    <col min="1753" max="1753" width="0" style="40" hidden="1" customWidth="1"/>
    <col min="1754" max="1754" width="3.28515625" style="40" customWidth="1"/>
    <col min="1755" max="1755" width="0" style="40" hidden="1" customWidth="1"/>
    <col min="1756" max="1756" width="14.85546875" style="40" bestFit="1" customWidth="1"/>
    <col min="1757" max="1757" width="11.5703125" style="40" bestFit="1" customWidth="1"/>
    <col min="1758" max="1758" width="11.42578125" style="40"/>
    <col min="1759" max="1759" width="17.7109375" style="40" bestFit="1" customWidth="1"/>
    <col min="1760" max="2003" width="11.42578125" style="40"/>
    <col min="2004" max="2004" width="48.28515625" style="40" customWidth="1"/>
    <col min="2005" max="2006" width="11.5703125" style="40" customWidth="1"/>
    <col min="2007" max="2007" width="15.7109375" style="40" customWidth="1"/>
    <col min="2008" max="2008" width="14.42578125" style="40" customWidth="1"/>
    <col min="2009" max="2009" width="0" style="40" hidden="1" customWidth="1"/>
    <col min="2010" max="2010" width="3.28515625" style="40" customWidth="1"/>
    <col min="2011" max="2011" width="0" style="40" hidden="1" customWidth="1"/>
    <col min="2012" max="2012" width="14.85546875" style="40" bestFit="1" customWidth="1"/>
    <col min="2013" max="2013" width="11.5703125" style="40" bestFit="1" customWidth="1"/>
    <col min="2014" max="2014" width="11.42578125" style="40"/>
    <col min="2015" max="2015" width="17.7109375" style="40" bestFit="1" customWidth="1"/>
    <col min="2016" max="2259" width="11.42578125" style="40"/>
    <col min="2260" max="2260" width="48.28515625" style="40" customWidth="1"/>
    <col min="2261" max="2262" width="11.5703125" style="40" customWidth="1"/>
    <col min="2263" max="2263" width="15.7109375" style="40" customWidth="1"/>
    <col min="2264" max="2264" width="14.42578125" style="40" customWidth="1"/>
    <col min="2265" max="2265" width="0" style="40" hidden="1" customWidth="1"/>
    <col min="2266" max="2266" width="3.28515625" style="40" customWidth="1"/>
    <col min="2267" max="2267" width="0" style="40" hidden="1" customWidth="1"/>
    <col min="2268" max="2268" width="14.85546875" style="40" bestFit="1" customWidth="1"/>
    <col min="2269" max="2269" width="11.5703125" style="40" bestFit="1" customWidth="1"/>
    <col min="2270" max="2270" width="11.42578125" style="40"/>
    <col min="2271" max="2271" width="17.7109375" style="40" bestFit="1" customWidth="1"/>
    <col min="2272" max="2515" width="11.42578125" style="40"/>
    <col min="2516" max="2516" width="48.28515625" style="40" customWidth="1"/>
    <col min="2517" max="2518" width="11.5703125" style="40" customWidth="1"/>
    <col min="2519" max="2519" width="15.7109375" style="40" customWidth="1"/>
    <col min="2520" max="2520" width="14.42578125" style="40" customWidth="1"/>
    <col min="2521" max="2521" width="0" style="40" hidden="1" customWidth="1"/>
    <col min="2522" max="2522" width="3.28515625" style="40" customWidth="1"/>
    <col min="2523" max="2523" width="0" style="40" hidden="1" customWidth="1"/>
    <col min="2524" max="2524" width="14.85546875" style="40" bestFit="1" customWidth="1"/>
    <col min="2525" max="2525" width="11.5703125" style="40" bestFit="1" customWidth="1"/>
    <col min="2526" max="2526" width="11.42578125" style="40"/>
    <col min="2527" max="2527" width="17.7109375" style="40" bestFit="1" customWidth="1"/>
    <col min="2528" max="2771" width="11.42578125" style="40"/>
    <col min="2772" max="2772" width="48.28515625" style="40" customWidth="1"/>
    <col min="2773" max="2774" width="11.5703125" style="40" customWidth="1"/>
    <col min="2775" max="2775" width="15.7109375" style="40" customWidth="1"/>
    <col min="2776" max="2776" width="14.42578125" style="40" customWidth="1"/>
    <col min="2777" max="2777" width="0" style="40" hidden="1" customWidth="1"/>
    <col min="2778" max="2778" width="3.28515625" style="40" customWidth="1"/>
    <col min="2779" max="2779" width="0" style="40" hidden="1" customWidth="1"/>
    <col min="2780" max="2780" width="14.85546875" style="40" bestFit="1" customWidth="1"/>
    <col min="2781" max="2781" width="11.5703125" style="40" bestFit="1" customWidth="1"/>
    <col min="2782" max="2782" width="11.42578125" style="40"/>
    <col min="2783" max="2783" width="17.7109375" style="40" bestFit="1" customWidth="1"/>
    <col min="2784" max="3027" width="11.42578125" style="40"/>
    <col min="3028" max="3028" width="48.28515625" style="40" customWidth="1"/>
    <col min="3029" max="3030" width="11.5703125" style="40" customWidth="1"/>
    <col min="3031" max="3031" width="15.7109375" style="40" customWidth="1"/>
    <col min="3032" max="3032" width="14.42578125" style="40" customWidth="1"/>
    <col min="3033" max="3033" width="0" style="40" hidden="1" customWidth="1"/>
    <col min="3034" max="3034" width="3.28515625" style="40" customWidth="1"/>
    <col min="3035" max="3035" width="0" style="40" hidden="1" customWidth="1"/>
    <col min="3036" max="3036" width="14.85546875" style="40" bestFit="1" customWidth="1"/>
    <col min="3037" max="3037" width="11.5703125" style="40" bestFit="1" customWidth="1"/>
    <col min="3038" max="3038" width="11.42578125" style="40"/>
    <col min="3039" max="3039" width="17.7109375" style="40" bestFit="1" customWidth="1"/>
    <col min="3040" max="3283" width="11.42578125" style="40"/>
    <col min="3284" max="3284" width="48.28515625" style="40" customWidth="1"/>
    <col min="3285" max="3286" width="11.5703125" style="40" customWidth="1"/>
    <col min="3287" max="3287" width="15.7109375" style="40" customWidth="1"/>
    <col min="3288" max="3288" width="14.42578125" style="40" customWidth="1"/>
    <col min="3289" max="3289" width="0" style="40" hidden="1" customWidth="1"/>
    <col min="3290" max="3290" width="3.28515625" style="40" customWidth="1"/>
    <col min="3291" max="3291" width="0" style="40" hidden="1" customWidth="1"/>
    <col min="3292" max="3292" width="14.85546875" style="40" bestFit="1" customWidth="1"/>
    <col min="3293" max="3293" width="11.5703125" style="40" bestFit="1" customWidth="1"/>
    <col min="3294" max="3294" width="11.42578125" style="40"/>
    <col min="3295" max="3295" width="17.7109375" style="40" bestFit="1" customWidth="1"/>
    <col min="3296" max="3539" width="11.42578125" style="40"/>
    <col min="3540" max="3540" width="48.28515625" style="40" customWidth="1"/>
    <col min="3541" max="3542" width="11.5703125" style="40" customWidth="1"/>
    <col min="3543" max="3543" width="15.7109375" style="40" customWidth="1"/>
    <col min="3544" max="3544" width="14.42578125" style="40" customWidth="1"/>
    <col min="3545" max="3545" width="0" style="40" hidden="1" customWidth="1"/>
    <col min="3546" max="3546" width="3.28515625" style="40" customWidth="1"/>
    <col min="3547" max="3547" width="0" style="40" hidden="1" customWidth="1"/>
    <col min="3548" max="3548" width="14.85546875" style="40" bestFit="1" customWidth="1"/>
    <col min="3549" max="3549" width="11.5703125" style="40" bestFit="1" customWidth="1"/>
    <col min="3550" max="3550" width="11.42578125" style="40"/>
    <col min="3551" max="3551" width="17.7109375" style="40" bestFit="1" customWidth="1"/>
    <col min="3552" max="3795" width="11.42578125" style="40"/>
    <col min="3796" max="3796" width="48.28515625" style="40" customWidth="1"/>
    <col min="3797" max="3798" width="11.5703125" style="40" customWidth="1"/>
    <col min="3799" max="3799" width="15.7109375" style="40" customWidth="1"/>
    <col min="3800" max="3800" width="14.42578125" style="40" customWidth="1"/>
    <col min="3801" max="3801" width="0" style="40" hidden="1" customWidth="1"/>
    <col min="3802" max="3802" width="3.28515625" style="40" customWidth="1"/>
    <col min="3803" max="3803" width="0" style="40" hidden="1" customWidth="1"/>
    <col min="3804" max="3804" width="14.85546875" style="40" bestFit="1" customWidth="1"/>
    <col min="3805" max="3805" width="11.5703125" style="40" bestFit="1" customWidth="1"/>
    <col min="3806" max="3806" width="11.42578125" style="40"/>
    <col min="3807" max="3807" width="17.7109375" style="40" bestFit="1" customWidth="1"/>
    <col min="3808" max="4051" width="11.42578125" style="40"/>
    <col min="4052" max="4052" width="48.28515625" style="40" customWidth="1"/>
    <col min="4053" max="4054" width="11.5703125" style="40" customWidth="1"/>
    <col min="4055" max="4055" width="15.7109375" style="40" customWidth="1"/>
    <col min="4056" max="4056" width="14.42578125" style="40" customWidth="1"/>
    <col min="4057" max="4057" width="0" style="40" hidden="1" customWidth="1"/>
    <col min="4058" max="4058" width="3.28515625" style="40" customWidth="1"/>
    <col min="4059" max="4059" width="0" style="40" hidden="1" customWidth="1"/>
    <col min="4060" max="4060" width="14.85546875" style="40" bestFit="1" customWidth="1"/>
    <col min="4061" max="4061" width="11.5703125" style="40" bestFit="1" customWidth="1"/>
    <col min="4062" max="4062" width="11.42578125" style="40"/>
    <col min="4063" max="4063" width="17.7109375" style="40" bestFit="1" customWidth="1"/>
    <col min="4064" max="4307" width="11.42578125" style="40"/>
    <col min="4308" max="4308" width="48.28515625" style="40" customWidth="1"/>
    <col min="4309" max="4310" width="11.5703125" style="40" customWidth="1"/>
    <col min="4311" max="4311" width="15.7109375" style="40" customWidth="1"/>
    <col min="4312" max="4312" width="14.42578125" style="40" customWidth="1"/>
    <col min="4313" max="4313" width="0" style="40" hidden="1" customWidth="1"/>
    <col min="4314" max="4314" width="3.28515625" style="40" customWidth="1"/>
    <col min="4315" max="4315" width="0" style="40" hidden="1" customWidth="1"/>
    <col min="4316" max="4316" width="14.85546875" style="40" bestFit="1" customWidth="1"/>
    <col min="4317" max="4317" width="11.5703125" style="40" bestFit="1" customWidth="1"/>
    <col min="4318" max="4318" width="11.42578125" style="40"/>
    <col min="4319" max="4319" width="17.7109375" style="40" bestFit="1" customWidth="1"/>
    <col min="4320" max="4563" width="11.42578125" style="40"/>
    <col min="4564" max="4564" width="48.28515625" style="40" customWidth="1"/>
    <col min="4565" max="4566" width="11.5703125" style="40" customWidth="1"/>
    <col min="4567" max="4567" width="15.7109375" style="40" customWidth="1"/>
    <col min="4568" max="4568" width="14.42578125" style="40" customWidth="1"/>
    <col min="4569" max="4569" width="0" style="40" hidden="1" customWidth="1"/>
    <col min="4570" max="4570" width="3.28515625" style="40" customWidth="1"/>
    <col min="4571" max="4571" width="0" style="40" hidden="1" customWidth="1"/>
    <col min="4572" max="4572" width="14.85546875" style="40" bestFit="1" customWidth="1"/>
    <col min="4573" max="4573" width="11.5703125" style="40" bestFit="1" customWidth="1"/>
    <col min="4574" max="4574" width="11.42578125" style="40"/>
    <col min="4575" max="4575" width="17.7109375" style="40" bestFit="1" customWidth="1"/>
    <col min="4576" max="4819" width="11.42578125" style="40"/>
    <col min="4820" max="4820" width="48.28515625" style="40" customWidth="1"/>
    <col min="4821" max="4822" width="11.5703125" style="40" customWidth="1"/>
    <col min="4823" max="4823" width="15.7109375" style="40" customWidth="1"/>
    <col min="4824" max="4824" width="14.42578125" style="40" customWidth="1"/>
    <col min="4825" max="4825" width="0" style="40" hidden="1" customWidth="1"/>
    <col min="4826" max="4826" width="3.28515625" style="40" customWidth="1"/>
    <col min="4827" max="4827" width="0" style="40" hidden="1" customWidth="1"/>
    <col min="4828" max="4828" width="14.85546875" style="40" bestFit="1" customWidth="1"/>
    <col min="4829" max="4829" width="11.5703125" style="40" bestFit="1" customWidth="1"/>
    <col min="4830" max="4830" width="11.42578125" style="40"/>
    <col min="4831" max="4831" width="17.7109375" style="40" bestFit="1" customWidth="1"/>
    <col min="4832" max="5075" width="11.42578125" style="40"/>
    <col min="5076" max="5076" width="48.28515625" style="40" customWidth="1"/>
    <col min="5077" max="5078" width="11.5703125" style="40" customWidth="1"/>
    <col min="5079" max="5079" width="15.7109375" style="40" customWidth="1"/>
    <col min="5080" max="5080" width="14.42578125" style="40" customWidth="1"/>
    <col min="5081" max="5081" width="0" style="40" hidden="1" customWidth="1"/>
    <col min="5082" max="5082" width="3.28515625" style="40" customWidth="1"/>
    <col min="5083" max="5083" width="0" style="40" hidden="1" customWidth="1"/>
    <col min="5084" max="5084" width="14.85546875" style="40" bestFit="1" customWidth="1"/>
    <col min="5085" max="5085" width="11.5703125" style="40" bestFit="1" customWidth="1"/>
    <col min="5086" max="5086" width="11.42578125" style="40"/>
    <col min="5087" max="5087" width="17.7109375" style="40" bestFit="1" customWidth="1"/>
    <col min="5088" max="5331" width="11.42578125" style="40"/>
    <col min="5332" max="5332" width="48.28515625" style="40" customWidth="1"/>
    <col min="5333" max="5334" width="11.5703125" style="40" customWidth="1"/>
    <col min="5335" max="5335" width="15.7109375" style="40" customWidth="1"/>
    <col min="5336" max="5336" width="14.42578125" style="40" customWidth="1"/>
    <col min="5337" max="5337" width="0" style="40" hidden="1" customWidth="1"/>
    <col min="5338" max="5338" width="3.28515625" style="40" customWidth="1"/>
    <col min="5339" max="5339" width="0" style="40" hidden="1" customWidth="1"/>
    <col min="5340" max="5340" width="14.85546875" style="40" bestFit="1" customWidth="1"/>
    <col min="5341" max="5341" width="11.5703125" style="40" bestFit="1" customWidth="1"/>
    <col min="5342" max="5342" width="11.42578125" style="40"/>
    <col min="5343" max="5343" width="17.7109375" style="40" bestFit="1" customWidth="1"/>
    <col min="5344" max="5587" width="11.42578125" style="40"/>
    <col min="5588" max="5588" width="48.28515625" style="40" customWidth="1"/>
    <col min="5589" max="5590" width="11.5703125" style="40" customWidth="1"/>
    <col min="5591" max="5591" width="15.7109375" style="40" customWidth="1"/>
    <col min="5592" max="5592" width="14.42578125" style="40" customWidth="1"/>
    <col min="5593" max="5593" width="0" style="40" hidden="1" customWidth="1"/>
    <col min="5594" max="5594" width="3.28515625" style="40" customWidth="1"/>
    <col min="5595" max="5595" width="0" style="40" hidden="1" customWidth="1"/>
    <col min="5596" max="5596" width="14.85546875" style="40" bestFit="1" customWidth="1"/>
    <col min="5597" max="5597" width="11.5703125" style="40" bestFit="1" customWidth="1"/>
    <col min="5598" max="5598" width="11.42578125" style="40"/>
    <col min="5599" max="5599" width="17.7109375" style="40" bestFit="1" customWidth="1"/>
    <col min="5600" max="5843" width="11.42578125" style="40"/>
    <col min="5844" max="5844" width="48.28515625" style="40" customWidth="1"/>
    <col min="5845" max="5846" width="11.5703125" style="40" customWidth="1"/>
    <col min="5847" max="5847" width="15.7109375" style="40" customWidth="1"/>
    <col min="5848" max="5848" width="14.42578125" style="40" customWidth="1"/>
    <col min="5849" max="5849" width="0" style="40" hidden="1" customWidth="1"/>
    <col min="5850" max="5850" width="3.28515625" style="40" customWidth="1"/>
    <col min="5851" max="5851" width="0" style="40" hidden="1" customWidth="1"/>
    <col min="5852" max="5852" width="14.85546875" style="40" bestFit="1" customWidth="1"/>
    <col min="5853" max="5853" width="11.5703125" style="40" bestFit="1" customWidth="1"/>
    <col min="5854" max="5854" width="11.42578125" style="40"/>
    <col min="5855" max="5855" width="17.7109375" style="40" bestFit="1" customWidth="1"/>
    <col min="5856" max="6099" width="11.42578125" style="40"/>
    <col min="6100" max="6100" width="48.28515625" style="40" customWidth="1"/>
    <col min="6101" max="6102" width="11.5703125" style="40" customWidth="1"/>
    <col min="6103" max="6103" width="15.7109375" style="40" customWidth="1"/>
    <col min="6104" max="6104" width="14.42578125" style="40" customWidth="1"/>
    <col min="6105" max="6105" width="0" style="40" hidden="1" customWidth="1"/>
    <col min="6106" max="6106" width="3.28515625" style="40" customWidth="1"/>
    <col min="6107" max="6107" width="0" style="40" hidden="1" customWidth="1"/>
    <col min="6108" max="6108" width="14.85546875" style="40" bestFit="1" customWidth="1"/>
    <col min="6109" max="6109" width="11.5703125" style="40" bestFit="1" customWidth="1"/>
    <col min="6110" max="6110" width="11.42578125" style="40"/>
    <col min="6111" max="6111" width="17.7109375" style="40" bestFit="1" customWidth="1"/>
    <col min="6112" max="6355" width="11.42578125" style="40"/>
    <col min="6356" max="6356" width="48.28515625" style="40" customWidth="1"/>
    <col min="6357" max="6358" width="11.5703125" style="40" customWidth="1"/>
    <col min="6359" max="6359" width="15.7109375" style="40" customWidth="1"/>
    <col min="6360" max="6360" width="14.42578125" style="40" customWidth="1"/>
    <col min="6361" max="6361" width="0" style="40" hidden="1" customWidth="1"/>
    <col min="6362" max="6362" width="3.28515625" style="40" customWidth="1"/>
    <col min="6363" max="6363" width="0" style="40" hidden="1" customWidth="1"/>
    <col min="6364" max="6364" width="14.85546875" style="40" bestFit="1" customWidth="1"/>
    <col min="6365" max="6365" width="11.5703125" style="40" bestFit="1" customWidth="1"/>
    <col min="6366" max="6366" width="11.42578125" style="40"/>
    <col min="6367" max="6367" width="17.7109375" style="40" bestFit="1" customWidth="1"/>
    <col min="6368" max="6611" width="11.42578125" style="40"/>
    <col min="6612" max="6612" width="48.28515625" style="40" customWidth="1"/>
    <col min="6613" max="6614" width="11.5703125" style="40" customWidth="1"/>
    <col min="6615" max="6615" width="15.7109375" style="40" customWidth="1"/>
    <col min="6616" max="6616" width="14.42578125" style="40" customWidth="1"/>
    <col min="6617" max="6617" width="0" style="40" hidden="1" customWidth="1"/>
    <col min="6618" max="6618" width="3.28515625" style="40" customWidth="1"/>
    <col min="6619" max="6619" width="0" style="40" hidden="1" customWidth="1"/>
    <col min="6620" max="6620" width="14.85546875" style="40" bestFit="1" customWidth="1"/>
    <col min="6621" max="6621" width="11.5703125" style="40" bestFit="1" customWidth="1"/>
    <col min="6622" max="6622" width="11.42578125" style="40"/>
    <col min="6623" max="6623" width="17.7109375" style="40" bestFit="1" customWidth="1"/>
    <col min="6624" max="6867" width="11.42578125" style="40"/>
    <col min="6868" max="6868" width="48.28515625" style="40" customWidth="1"/>
    <col min="6869" max="6870" width="11.5703125" style="40" customWidth="1"/>
    <col min="6871" max="6871" width="15.7109375" style="40" customWidth="1"/>
    <col min="6872" max="6872" width="14.42578125" style="40" customWidth="1"/>
    <col min="6873" max="6873" width="0" style="40" hidden="1" customWidth="1"/>
    <col min="6874" max="6874" width="3.28515625" style="40" customWidth="1"/>
    <col min="6875" max="6875" width="0" style="40" hidden="1" customWidth="1"/>
    <col min="6876" max="6876" width="14.85546875" style="40" bestFit="1" customWidth="1"/>
    <col min="6877" max="6877" width="11.5703125" style="40" bestFit="1" customWidth="1"/>
    <col min="6878" max="6878" width="11.42578125" style="40"/>
    <col min="6879" max="6879" width="17.7109375" style="40" bestFit="1" customWidth="1"/>
    <col min="6880" max="7123" width="11.42578125" style="40"/>
    <col min="7124" max="7124" width="48.28515625" style="40" customWidth="1"/>
    <col min="7125" max="7126" width="11.5703125" style="40" customWidth="1"/>
    <col min="7127" max="7127" width="15.7109375" style="40" customWidth="1"/>
    <col min="7128" max="7128" width="14.42578125" style="40" customWidth="1"/>
    <col min="7129" max="7129" width="0" style="40" hidden="1" customWidth="1"/>
    <col min="7130" max="7130" width="3.28515625" style="40" customWidth="1"/>
    <col min="7131" max="7131" width="0" style="40" hidden="1" customWidth="1"/>
    <col min="7132" max="7132" width="14.85546875" style="40" bestFit="1" customWidth="1"/>
    <col min="7133" max="7133" width="11.5703125" style="40" bestFit="1" customWidth="1"/>
    <col min="7134" max="7134" width="11.42578125" style="40"/>
    <col min="7135" max="7135" width="17.7109375" style="40" bestFit="1" customWidth="1"/>
    <col min="7136" max="7379" width="11.42578125" style="40"/>
    <col min="7380" max="7380" width="48.28515625" style="40" customWidth="1"/>
    <col min="7381" max="7382" width="11.5703125" style="40" customWidth="1"/>
    <col min="7383" max="7383" width="15.7109375" style="40" customWidth="1"/>
    <col min="7384" max="7384" width="14.42578125" style="40" customWidth="1"/>
    <col min="7385" max="7385" width="0" style="40" hidden="1" customWidth="1"/>
    <col min="7386" max="7386" width="3.28515625" style="40" customWidth="1"/>
    <col min="7387" max="7387" width="0" style="40" hidden="1" customWidth="1"/>
    <col min="7388" max="7388" width="14.85546875" style="40" bestFit="1" customWidth="1"/>
    <col min="7389" max="7389" width="11.5703125" style="40" bestFit="1" customWidth="1"/>
    <col min="7390" max="7390" width="11.42578125" style="40"/>
    <col min="7391" max="7391" width="17.7109375" style="40" bestFit="1" customWidth="1"/>
    <col min="7392" max="7635" width="11.42578125" style="40"/>
    <col min="7636" max="7636" width="48.28515625" style="40" customWidth="1"/>
    <col min="7637" max="7638" width="11.5703125" style="40" customWidth="1"/>
    <col min="7639" max="7639" width="15.7109375" style="40" customWidth="1"/>
    <col min="7640" max="7640" width="14.42578125" style="40" customWidth="1"/>
    <col min="7641" max="7641" width="0" style="40" hidden="1" customWidth="1"/>
    <col min="7642" max="7642" width="3.28515625" style="40" customWidth="1"/>
    <col min="7643" max="7643" width="0" style="40" hidden="1" customWidth="1"/>
    <col min="7644" max="7644" width="14.85546875" style="40" bestFit="1" customWidth="1"/>
    <col min="7645" max="7645" width="11.5703125" style="40" bestFit="1" customWidth="1"/>
    <col min="7646" max="7646" width="11.42578125" style="40"/>
    <col min="7647" max="7647" width="17.7109375" style="40" bestFit="1" customWidth="1"/>
    <col min="7648" max="7891" width="11.42578125" style="40"/>
    <col min="7892" max="7892" width="48.28515625" style="40" customWidth="1"/>
    <col min="7893" max="7894" width="11.5703125" style="40" customWidth="1"/>
    <col min="7895" max="7895" width="15.7109375" style="40" customWidth="1"/>
    <col min="7896" max="7896" width="14.42578125" style="40" customWidth="1"/>
    <col min="7897" max="7897" width="0" style="40" hidden="1" customWidth="1"/>
    <col min="7898" max="7898" width="3.28515625" style="40" customWidth="1"/>
    <col min="7899" max="7899" width="0" style="40" hidden="1" customWidth="1"/>
    <col min="7900" max="7900" width="14.85546875" style="40" bestFit="1" customWidth="1"/>
    <col min="7901" max="7901" width="11.5703125" style="40" bestFit="1" customWidth="1"/>
    <col min="7902" max="7902" width="11.42578125" style="40"/>
    <col min="7903" max="7903" width="17.7109375" style="40" bestFit="1" customWidth="1"/>
    <col min="7904" max="8147" width="11.42578125" style="40"/>
    <col min="8148" max="8148" width="48.28515625" style="40" customWidth="1"/>
    <col min="8149" max="8150" width="11.5703125" style="40" customWidth="1"/>
    <col min="8151" max="8151" width="15.7109375" style="40" customWidth="1"/>
    <col min="8152" max="8152" width="14.42578125" style="40" customWidth="1"/>
    <col min="8153" max="8153" width="0" style="40" hidden="1" customWidth="1"/>
    <col min="8154" max="8154" width="3.28515625" style="40" customWidth="1"/>
    <col min="8155" max="8155" width="0" style="40" hidden="1" customWidth="1"/>
    <col min="8156" max="8156" width="14.85546875" style="40" bestFit="1" customWidth="1"/>
    <col min="8157" max="8157" width="11.5703125" style="40" bestFit="1" customWidth="1"/>
    <col min="8158" max="8158" width="11.42578125" style="40"/>
    <col min="8159" max="8159" width="17.7109375" style="40" bestFit="1" customWidth="1"/>
    <col min="8160" max="8403" width="11.42578125" style="40"/>
    <col min="8404" max="8404" width="48.28515625" style="40" customWidth="1"/>
    <col min="8405" max="8406" width="11.5703125" style="40" customWidth="1"/>
    <col min="8407" max="8407" width="15.7109375" style="40" customWidth="1"/>
    <col min="8408" max="8408" width="14.42578125" style="40" customWidth="1"/>
    <col min="8409" max="8409" width="0" style="40" hidden="1" customWidth="1"/>
    <col min="8410" max="8410" width="3.28515625" style="40" customWidth="1"/>
    <col min="8411" max="8411" width="0" style="40" hidden="1" customWidth="1"/>
    <col min="8412" max="8412" width="14.85546875" style="40" bestFit="1" customWidth="1"/>
    <col min="8413" max="8413" width="11.5703125" style="40" bestFit="1" customWidth="1"/>
    <col min="8414" max="8414" width="11.42578125" style="40"/>
    <col min="8415" max="8415" width="17.7109375" style="40" bestFit="1" customWidth="1"/>
    <col min="8416" max="8659" width="11.42578125" style="40"/>
    <col min="8660" max="8660" width="48.28515625" style="40" customWidth="1"/>
    <col min="8661" max="8662" width="11.5703125" style="40" customWidth="1"/>
    <col min="8663" max="8663" width="15.7109375" style="40" customWidth="1"/>
    <col min="8664" max="8664" width="14.42578125" style="40" customWidth="1"/>
    <col min="8665" max="8665" width="0" style="40" hidden="1" customWidth="1"/>
    <col min="8666" max="8666" width="3.28515625" style="40" customWidth="1"/>
    <col min="8667" max="8667" width="0" style="40" hidden="1" customWidth="1"/>
    <col min="8668" max="8668" width="14.85546875" style="40" bestFit="1" customWidth="1"/>
    <col min="8669" max="8669" width="11.5703125" style="40" bestFit="1" customWidth="1"/>
    <col min="8670" max="8670" width="11.42578125" style="40"/>
    <col min="8671" max="8671" width="17.7109375" style="40" bestFit="1" customWidth="1"/>
    <col min="8672" max="8915" width="11.42578125" style="40"/>
    <col min="8916" max="8916" width="48.28515625" style="40" customWidth="1"/>
    <col min="8917" max="8918" width="11.5703125" style="40" customWidth="1"/>
    <col min="8919" max="8919" width="15.7109375" style="40" customWidth="1"/>
    <col min="8920" max="8920" width="14.42578125" style="40" customWidth="1"/>
    <col min="8921" max="8921" width="0" style="40" hidden="1" customWidth="1"/>
    <col min="8922" max="8922" width="3.28515625" style="40" customWidth="1"/>
    <col min="8923" max="8923" width="0" style="40" hidden="1" customWidth="1"/>
    <col min="8924" max="8924" width="14.85546875" style="40" bestFit="1" customWidth="1"/>
    <col min="8925" max="8925" width="11.5703125" style="40" bestFit="1" customWidth="1"/>
    <col min="8926" max="8926" width="11.42578125" style="40"/>
    <col min="8927" max="8927" width="17.7109375" style="40" bestFit="1" customWidth="1"/>
    <col min="8928" max="9171" width="11.42578125" style="40"/>
    <col min="9172" max="9172" width="48.28515625" style="40" customWidth="1"/>
    <col min="9173" max="9174" width="11.5703125" style="40" customWidth="1"/>
    <col min="9175" max="9175" width="15.7109375" style="40" customWidth="1"/>
    <col min="9176" max="9176" width="14.42578125" style="40" customWidth="1"/>
    <col min="9177" max="9177" width="0" style="40" hidden="1" customWidth="1"/>
    <col min="9178" max="9178" width="3.28515625" style="40" customWidth="1"/>
    <col min="9179" max="9179" width="0" style="40" hidden="1" customWidth="1"/>
    <col min="9180" max="9180" width="14.85546875" style="40" bestFit="1" customWidth="1"/>
    <col min="9181" max="9181" width="11.5703125" style="40" bestFit="1" customWidth="1"/>
    <col min="9182" max="9182" width="11.42578125" style="40"/>
    <col min="9183" max="9183" width="17.7109375" style="40" bestFit="1" customWidth="1"/>
    <col min="9184" max="9427" width="11.42578125" style="40"/>
    <col min="9428" max="9428" width="48.28515625" style="40" customWidth="1"/>
    <col min="9429" max="9430" width="11.5703125" style="40" customWidth="1"/>
    <col min="9431" max="9431" width="15.7109375" style="40" customWidth="1"/>
    <col min="9432" max="9432" width="14.42578125" style="40" customWidth="1"/>
    <col min="9433" max="9433" width="0" style="40" hidden="1" customWidth="1"/>
    <col min="9434" max="9434" width="3.28515625" style="40" customWidth="1"/>
    <col min="9435" max="9435" width="0" style="40" hidden="1" customWidth="1"/>
    <col min="9436" max="9436" width="14.85546875" style="40" bestFit="1" customWidth="1"/>
    <col min="9437" max="9437" width="11.5703125" style="40" bestFit="1" customWidth="1"/>
    <col min="9438" max="9438" width="11.42578125" style="40"/>
    <col min="9439" max="9439" width="17.7109375" style="40" bestFit="1" customWidth="1"/>
    <col min="9440" max="9683" width="11.42578125" style="40"/>
    <col min="9684" max="9684" width="48.28515625" style="40" customWidth="1"/>
    <col min="9685" max="9686" width="11.5703125" style="40" customWidth="1"/>
    <col min="9687" max="9687" width="15.7109375" style="40" customWidth="1"/>
    <col min="9688" max="9688" width="14.42578125" style="40" customWidth="1"/>
    <col min="9689" max="9689" width="0" style="40" hidden="1" customWidth="1"/>
    <col min="9690" max="9690" width="3.28515625" style="40" customWidth="1"/>
    <col min="9691" max="9691" width="0" style="40" hidden="1" customWidth="1"/>
    <col min="9692" max="9692" width="14.85546875" style="40" bestFit="1" customWidth="1"/>
    <col min="9693" max="9693" width="11.5703125" style="40" bestFit="1" customWidth="1"/>
    <col min="9694" max="9694" width="11.42578125" style="40"/>
    <col min="9695" max="9695" width="17.7109375" style="40" bestFit="1" customWidth="1"/>
    <col min="9696" max="9939" width="11.42578125" style="40"/>
    <col min="9940" max="9940" width="48.28515625" style="40" customWidth="1"/>
    <col min="9941" max="9942" width="11.5703125" style="40" customWidth="1"/>
    <col min="9943" max="9943" width="15.7109375" style="40" customWidth="1"/>
    <col min="9944" max="9944" width="14.42578125" style="40" customWidth="1"/>
    <col min="9945" max="9945" width="0" style="40" hidden="1" customWidth="1"/>
    <col min="9946" max="9946" width="3.28515625" style="40" customWidth="1"/>
    <col min="9947" max="9947" width="0" style="40" hidden="1" customWidth="1"/>
    <col min="9948" max="9948" width="14.85546875" style="40" bestFit="1" customWidth="1"/>
    <col min="9949" max="9949" width="11.5703125" style="40" bestFit="1" customWidth="1"/>
    <col min="9950" max="9950" width="11.42578125" style="40"/>
    <col min="9951" max="9951" width="17.7109375" style="40" bestFit="1" customWidth="1"/>
    <col min="9952" max="10195" width="11.42578125" style="40"/>
    <col min="10196" max="10196" width="48.28515625" style="40" customWidth="1"/>
    <col min="10197" max="10198" width="11.5703125" style="40" customWidth="1"/>
    <col min="10199" max="10199" width="15.7109375" style="40" customWidth="1"/>
    <col min="10200" max="10200" width="14.42578125" style="40" customWidth="1"/>
    <col min="10201" max="10201" width="0" style="40" hidden="1" customWidth="1"/>
    <col min="10202" max="10202" width="3.28515625" style="40" customWidth="1"/>
    <col min="10203" max="10203" width="0" style="40" hidden="1" customWidth="1"/>
    <col min="10204" max="10204" width="14.85546875" style="40" bestFit="1" customWidth="1"/>
    <col min="10205" max="10205" width="11.5703125" style="40" bestFit="1" customWidth="1"/>
    <col min="10206" max="10206" width="11.42578125" style="40"/>
    <col min="10207" max="10207" width="17.7109375" style="40" bestFit="1" customWidth="1"/>
    <col min="10208" max="10451" width="11.42578125" style="40"/>
    <col min="10452" max="10452" width="48.28515625" style="40" customWidth="1"/>
    <col min="10453" max="10454" width="11.5703125" style="40" customWidth="1"/>
    <col min="10455" max="10455" width="15.7109375" style="40" customWidth="1"/>
    <col min="10456" max="10456" width="14.42578125" style="40" customWidth="1"/>
    <col min="10457" max="10457" width="0" style="40" hidden="1" customWidth="1"/>
    <col min="10458" max="10458" width="3.28515625" style="40" customWidth="1"/>
    <col min="10459" max="10459" width="0" style="40" hidden="1" customWidth="1"/>
    <col min="10460" max="10460" width="14.85546875" style="40" bestFit="1" customWidth="1"/>
    <col min="10461" max="10461" width="11.5703125" style="40" bestFit="1" customWidth="1"/>
    <col min="10462" max="10462" width="11.42578125" style="40"/>
    <col min="10463" max="10463" width="17.7109375" style="40" bestFit="1" customWidth="1"/>
    <col min="10464" max="10707" width="11.42578125" style="40"/>
    <col min="10708" max="10708" width="48.28515625" style="40" customWidth="1"/>
    <col min="10709" max="10710" width="11.5703125" style="40" customWidth="1"/>
    <col min="10711" max="10711" width="15.7109375" style="40" customWidth="1"/>
    <col min="10712" max="10712" width="14.42578125" style="40" customWidth="1"/>
    <col min="10713" max="10713" width="0" style="40" hidden="1" customWidth="1"/>
    <col min="10714" max="10714" width="3.28515625" style="40" customWidth="1"/>
    <col min="10715" max="10715" width="0" style="40" hidden="1" customWidth="1"/>
    <col min="10716" max="10716" width="14.85546875" style="40" bestFit="1" customWidth="1"/>
    <col min="10717" max="10717" width="11.5703125" style="40" bestFit="1" customWidth="1"/>
    <col min="10718" max="10718" width="11.42578125" style="40"/>
    <col min="10719" max="10719" width="17.7109375" style="40" bestFit="1" customWidth="1"/>
    <col min="10720" max="10963" width="11.42578125" style="40"/>
    <col min="10964" max="10964" width="48.28515625" style="40" customWidth="1"/>
    <col min="10965" max="10966" width="11.5703125" style="40" customWidth="1"/>
    <col min="10967" max="10967" width="15.7109375" style="40" customWidth="1"/>
    <col min="10968" max="10968" width="14.42578125" style="40" customWidth="1"/>
    <col min="10969" max="10969" width="0" style="40" hidden="1" customWidth="1"/>
    <col min="10970" max="10970" width="3.28515625" style="40" customWidth="1"/>
    <col min="10971" max="10971" width="0" style="40" hidden="1" customWidth="1"/>
    <col min="10972" max="10972" width="14.85546875" style="40" bestFit="1" customWidth="1"/>
    <col min="10973" max="10973" width="11.5703125" style="40" bestFit="1" customWidth="1"/>
    <col min="10974" max="10974" width="11.42578125" style="40"/>
    <col min="10975" max="10975" width="17.7109375" style="40" bestFit="1" customWidth="1"/>
    <col min="10976" max="11219" width="11.42578125" style="40"/>
    <col min="11220" max="11220" width="48.28515625" style="40" customWidth="1"/>
    <col min="11221" max="11222" width="11.5703125" style="40" customWidth="1"/>
    <col min="11223" max="11223" width="15.7109375" style="40" customWidth="1"/>
    <col min="11224" max="11224" width="14.42578125" style="40" customWidth="1"/>
    <col min="11225" max="11225" width="0" style="40" hidden="1" customWidth="1"/>
    <col min="11226" max="11226" width="3.28515625" style="40" customWidth="1"/>
    <col min="11227" max="11227" width="0" style="40" hidden="1" customWidth="1"/>
    <col min="11228" max="11228" width="14.85546875" style="40" bestFit="1" customWidth="1"/>
    <col min="11229" max="11229" width="11.5703125" style="40" bestFit="1" customWidth="1"/>
    <col min="11230" max="11230" width="11.42578125" style="40"/>
    <col min="11231" max="11231" width="17.7109375" style="40" bestFit="1" customWidth="1"/>
    <col min="11232" max="11475" width="11.42578125" style="40"/>
    <col min="11476" max="11476" width="48.28515625" style="40" customWidth="1"/>
    <col min="11477" max="11478" width="11.5703125" style="40" customWidth="1"/>
    <col min="11479" max="11479" width="15.7109375" style="40" customWidth="1"/>
    <col min="11480" max="11480" width="14.42578125" style="40" customWidth="1"/>
    <col min="11481" max="11481" width="0" style="40" hidden="1" customWidth="1"/>
    <col min="11482" max="11482" width="3.28515625" style="40" customWidth="1"/>
    <col min="11483" max="11483" width="0" style="40" hidden="1" customWidth="1"/>
    <col min="11484" max="11484" width="14.85546875" style="40" bestFit="1" customWidth="1"/>
    <col min="11485" max="11485" width="11.5703125" style="40" bestFit="1" customWidth="1"/>
    <col min="11486" max="11486" width="11.42578125" style="40"/>
    <col min="11487" max="11487" width="17.7109375" style="40" bestFit="1" customWidth="1"/>
    <col min="11488" max="11731" width="11.42578125" style="40"/>
    <col min="11732" max="11732" width="48.28515625" style="40" customWidth="1"/>
    <col min="11733" max="11734" width="11.5703125" style="40" customWidth="1"/>
    <col min="11735" max="11735" width="15.7109375" style="40" customWidth="1"/>
    <col min="11736" max="11736" width="14.42578125" style="40" customWidth="1"/>
    <col min="11737" max="11737" width="0" style="40" hidden="1" customWidth="1"/>
    <col min="11738" max="11738" width="3.28515625" style="40" customWidth="1"/>
    <col min="11739" max="11739" width="0" style="40" hidden="1" customWidth="1"/>
    <col min="11740" max="11740" width="14.85546875" style="40" bestFit="1" customWidth="1"/>
    <col min="11741" max="11741" width="11.5703125" style="40" bestFit="1" customWidth="1"/>
    <col min="11742" max="11742" width="11.42578125" style="40"/>
    <col min="11743" max="11743" width="17.7109375" style="40" bestFit="1" customWidth="1"/>
    <col min="11744" max="11987" width="11.42578125" style="40"/>
    <col min="11988" max="11988" width="48.28515625" style="40" customWidth="1"/>
    <col min="11989" max="11990" width="11.5703125" style="40" customWidth="1"/>
    <col min="11991" max="11991" width="15.7109375" style="40" customWidth="1"/>
    <col min="11992" max="11992" width="14.42578125" style="40" customWidth="1"/>
    <col min="11993" max="11993" width="0" style="40" hidden="1" customWidth="1"/>
    <col min="11994" max="11994" width="3.28515625" style="40" customWidth="1"/>
    <col min="11995" max="11995" width="0" style="40" hidden="1" customWidth="1"/>
    <col min="11996" max="11996" width="14.85546875" style="40" bestFit="1" customWidth="1"/>
    <col min="11997" max="11997" width="11.5703125" style="40" bestFit="1" customWidth="1"/>
    <col min="11998" max="11998" width="11.42578125" style="40"/>
    <col min="11999" max="11999" width="17.7109375" style="40" bestFit="1" customWidth="1"/>
    <col min="12000" max="12243" width="11.42578125" style="40"/>
    <col min="12244" max="12244" width="48.28515625" style="40" customWidth="1"/>
    <col min="12245" max="12246" width="11.5703125" style="40" customWidth="1"/>
    <col min="12247" max="12247" width="15.7109375" style="40" customWidth="1"/>
    <col min="12248" max="12248" width="14.42578125" style="40" customWidth="1"/>
    <col min="12249" max="12249" width="0" style="40" hidden="1" customWidth="1"/>
    <col min="12250" max="12250" width="3.28515625" style="40" customWidth="1"/>
    <col min="12251" max="12251" width="0" style="40" hidden="1" customWidth="1"/>
    <col min="12252" max="12252" width="14.85546875" style="40" bestFit="1" customWidth="1"/>
    <col min="12253" max="12253" width="11.5703125" style="40" bestFit="1" customWidth="1"/>
    <col min="12254" max="12254" width="11.42578125" style="40"/>
    <col min="12255" max="12255" width="17.7109375" style="40" bestFit="1" customWidth="1"/>
    <col min="12256" max="12499" width="11.42578125" style="40"/>
    <col min="12500" max="12500" width="48.28515625" style="40" customWidth="1"/>
    <col min="12501" max="12502" width="11.5703125" style="40" customWidth="1"/>
    <col min="12503" max="12503" width="15.7109375" style="40" customWidth="1"/>
    <col min="12504" max="12504" width="14.42578125" style="40" customWidth="1"/>
    <col min="12505" max="12505" width="0" style="40" hidden="1" customWidth="1"/>
    <col min="12506" max="12506" width="3.28515625" style="40" customWidth="1"/>
    <col min="12507" max="12507" width="0" style="40" hidden="1" customWidth="1"/>
    <col min="12508" max="12508" width="14.85546875" style="40" bestFit="1" customWidth="1"/>
    <col min="12509" max="12509" width="11.5703125" style="40" bestFit="1" customWidth="1"/>
    <col min="12510" max="12510" width="11.42578125" style="40"/>
    <col min="12511" max="12511" width="17.7109375" style="40" bestFit="1" customWidth="1"/>
    <col min="12512" max="12755" width="11.42578125" style="40"/>
    <col min="12756" max="12756" width="48.28515625" style="40" customWidth="1"/>
    <col min="12757" max="12758" width="11.5703125" style="40" customWidth="1"/>
    <col min="12759" max="12759" width="15.7109375" style="40" customWidth="1"/>
    <col min="12760" max="12760" width="14.42578125" style="40" customWidth="1"/>
    <col min="12761" max="12761" width="0" style="40" hidden="1" customWidth="1"/>
    <col min="12762" max="12762" width="3.28515625" style="40" customWidth="1"/>
    <col min="12763" max="12763" width="0" style="40" hidden="1" customWidth="1"/>
    <col min="12764" max="12764" width="14.85546875" style="40" bestFit="1" customWidth="1"/>
    <col min="12765" max="12765" width="11.5703125" style="40" bestFit="1" customWidth="1"/>
    <col min="12766" max="12766" width="11.42578125" style="40"/>
    <col min="12767" max="12767" width="17.7109375" style="40" bestFit="1" customWidth="1"/>
    <col min="12768" max="13011" width="11.42578125" style="40"/>
    <col min="13012" max="13012" width="48.28515625" style="40" customWidth="1"/>
    <col min="13013" max="13014" width="11.5703125" style="40" customWidth="1"/>
    <col min="13015" max="13015" width="15.7109375" style="40" customWidth="1"/>
    <col min="13016" max="13016" width="14.42578125" style="40" customWidth="1"/>
    <col min="13017" max="13017" width="0" style="40" hidden="1" customWidth="1"/>
    <col min="13018" max="13018" width="3.28515625" style="40" customWidth="1"/>
    <col min="13019" max="13019" width="0" style="40" hidden="1" customWidth="1"/>
    <col min="13020" max="13020" width="14.85546875" style="40" bestFit="1" customWidth="1"/>
    <col min="13021" max="13021" width="11.5703125" style="40" bestFit="1" customWidth="1"/>
    <col min="13022" max="13022" width="11.42578125" style="40"/>
    <col min="13023" max="13023" width="17.7109375" style="40" bestFit="1" customWidth="1"/>
    <col min="13024" max="13267" width="11.42578125" style="40"/>
    <col min="13268" max="13268" width="48.28515625" style="40" customWidth="1"/>
    <col min="13269" max="13270" width="11.5703125" style="40" customWidth="1"/>
    <col min="13271" max="13271" width="15.7109375" style="40" customWidth="1"/>
    <col min="13272" max="13272" width="14.42578125" style="40" customWidth="1"/>
    <col min="13273" max="13273" width="0" style="40" hidden="1" customWidth="1"/>
    <col min="13274" max="13274" width="3.28515625" style="40" customWidth="1"/>
    <col min="13275" max="13275" width="0" style="40" hidden="1" customWidth="1"/>
    <col min="13276" max="13276" width="14.85546875" style="40" bestFit="1" customWidth="1"/>
    <col min="13277" max="13277" width="11.5703125" style="40" bestFit="1" customWidth="1"/>
    <col min="13278" max="13278" width="11.42578125" style="40"/>
    <col min="13279" max="13279" width="17.7109375" style="40" bestFit="1" customWidth="1"/>
    <col min="13280" max="13523" width="11.42578125" style="40"/>
    <col min="13524" max="13524" width="48.28515625" style="40" customWidth="1"/>
    <col min="13525" max="13526" width="11.5703125" style="40" customWidth="1"/>
    <col min="13527" max="13527" width="15.7109375" style="40" customWidth="1"/>
    <col min="13528" max="13528" width="14.42578125" style="40" customWidth="1"/>
    <col min="13529" max="13529" width="0" style="40" hidden="1" customWidth="1"/>
    <col min="13530" max="13530" width="3.28515625" style="40" customWidth="1"/>
    <col min="13531" max="13531" width="0" style="40" hidden="1" customWidth="1"/>
    <col min="13532" max="13532" width="14.85546875" style="40" bestFit="1" customWidth="1"/>
    <col min="13533" max="13533" width="11.5703125" style="40" bestFit="1" customWidth="1"/>
    <col min="13534" max="13534" width="11.42578125" style="40"/>
    <col min="13535" max="13535" width="17.7109375" style="40" bestFit="1" customWidth="1"/>
    <col min="13536" max="13779" width="11.42578125" style="40"/>
    <col min="13780" max="13780" width="48.28515625" style="40" customWidth="1"/>
    <col min="13781" max="13782" width="11.5703125" style="40" customWidth="1"/>
    <col min="13783" max="13783" width="15.7109375" style="40" customWidth="1"/>
    <col min="13784" max="13784" width="14.42578125" style="40" customWidth="1"/>
    <col min="13785" max="13785" width="0" style="40" hidden="1" customWidth="1"/>
    <col min="13786" max="13786" width="3.28515625" style="40" customWidth="1"/>
    <col min="13787" max="13787" width="0" style="40" hidden="1" customWidth="1"/>
    <col min="13788" max="13788" width="14.85546875" style="40" bestFit="1" customWidth="1"/>
    <col min="13789" max="13789" width="11.5703125" style="40" bestFit="1" customWidth="1"/>
    <col min="13790" max="13790" width="11.42578125" style="40"/>
    <col min="13791" max="13791" width="17.7109375" style="40" bestFit="1" customWidth="1"/>
    <col min="13792" max="14035" width="11.42578125" style="40"/>
    <col min="14036" max="14036" width="48.28515625" style="40" customWidth="1"/>
    <col min="14037" max="14038" width="11.5703125" style="40" customWidth="1"/>
    <col min="14039" max="14039" width="15.7109375" style="40" customWidth="1"/>
    <col min="14040" max="14040" width="14.42578125" style="40" customWidth="1"/>
    <col min="14041" max="14041" width="0" style="40" hidden="1" customWidth="1"/>
    <col min="14042" max="14042" width="3.28515625" style="40" customWidth="1"/>
    <col min="14043" max="14043" width="0" style="40" hidden="1" customWidth="1"/>
    <col min="14044" max="14044" width="14.85546875" style="40" bestFit="1" customWidth="1"/>
    <col min="14045" max="14045" width="11.5703125" style="40" bestFit="1" customWidth="1"/>
    <col min="14046" max="14046" width="11.42578125" style="40"/>
    <col min="14047" max="14047" width="17.7109375" style="40" bestFit="1" customWidth="1"/>
    <col min="14048" max="14291" width="11.42578125" style="40"/>
    <col min="14292" max="14292" width="48.28515625" style="40" customWidth="1"/>
    <col min="14293" max="14294" width="11.5703125" style="40" customWidth="1"/>
    <col min="14295" max="14295" width="15.7109375" style="40" customWidth="1"/>
    <col min="14296" max="14296" width="14.42578125" style="40" customWidth="1"/>
    <col min="14297" max="14297" width="0" style="40" hidden="1" customWidth="1"/>
    <col min="14298" max="14298" width="3.28515625" style="40" customWidth="1"/>
    <col min="14299" max="14299" width="0" style="40" hidden="1" customWidth="1"/>
    <col min="14300" max="14300" width="14.85546875" style="40" bestFit="1" customWidth="1"/>
    <col min="14301" max="14301" width="11.5703125" style="40" bestFit="1" customWidth="1"/>
    <col min="14302" max="14302" width="11.42578125" style="40"/>
    <col min="14303" max="14303" width="17.7109375" style="40" bestFit="1" customWidth="1"/>
    <col min="14304" max="14547" width="11.42578125" style="40"/>
    <col min="14548" max="14548" width="48.28515625" style="40" customWidth="1"/>
    <col min="14549" max="14550" width="11.5703125" style="40" customWidth="1"/>
    <col min="14551" max="14551" width="15.7109375" style="40" customWidth="1"/>
    <col min="14552" max="14552" width="14.42578125" style="40" customWidth="1"/>
    <col min="14553" max="14553" width="0" style="40" hidden="1" customWidth="1"/>
    <col min="14554" max="14554" width="3.28515625" style="40" customWidth="1"/>
    <col min="14555" max="14555" width="0" style="40" hidden="1" customWidth="1"/>
    <col min="14556" max="14556" width="14.85546875" style="40" bestFit="1" customWidth="1"/>
    <col min="14557" max="14557" width="11.5703125" style="40" bestFit="1" customWidth="1"/>
    <col min="14558" max="14558" width="11.42578125" style="40"/>
    <col min="14559" max="14559" width="17.7109375" style="40" bestFit="1" customWidth="1"/>
    <col min="14560" max="14803" width="11.42578125" style="40"/>
    <col min="14804" max="14804" width="48.28515625" style="40" customWidth="1"/>
    <col min="14805" max="14806" width="11.5703125" style="40" customWidth="1"/>
    <col min="14807" max="14807" width="15.7109375" style="40" customWidth="1"/>
    <col min="14808" max="14808" width="14.42578125" style="40" customWidth="1"/>
    <col min="14809" max="14809" width="0" style="40" hidden="1" customWidth="1"/>
    <col min="14810" max="14810" width="3.28515625" style="40" customWidth="1"/>
    <col min="14811" max="14811" width="0" style="40" hidden="1" customWidth="1"/>
    <col min="14812" max="14812" width="14.85546875" style="40" bestFit="1" customWidth="1"/>
    <col min="14813" max="14813" width="11.5703125" style="40" bestFit="1" customWidth="1"/>
    <col min="14814" max="14814" width="11.42578125" style="40"/>
    <col min="14815" max="14815" width="17.7109375" style="40" bestFit="1" customWidth="1"/>
    <col min="14816" max="15059" width="11.42578125" style="40"/>
    <col min="15060" max="15060" width="48.28515625" style="40" customWidth="1"/>
    <col min="15061" max="15062" width="11.5703125" style="40" customWidth="1"/>
    <col min="15063" max="15063" width="15.7109375" style="40" customWidth="1"/>
    <col min="15064" max="15064" width="14.42578125" style="40" customWidth="1"/>
    <col min="15065" max="15065" width="0" style="40" hidden="1" customWidth="1"/>
    <col min="15066" max="15066" width="3.28515625" style="40" customWidth="1"/>
    <col min="15067" max="15067" width="0" style="40" hidden="1" customWidth="1"/>
    <col min="15068" max="15068" width="14.85546875" style="40" bestFit="1" customWidth="1"/>
    <col min="15069" max="15069" width="11.5703125" style="40" bestFit="1" customWidth="1"/>
    <col min="15070" max="15070" width="11.42578125" style="40"/>
    <col min="15071" max="15071" width="17.7109375" style="40" bestFit="1" customWidth="1"/>
    <col min="15072" max="15315" width="11.42578125" style="40"/>
    <col min="15316" max="15316" width="48.28515625" style="40" customWidth="1"/>
    <col min="15317" max="15318" width="11.5703125" style="40" customWidth="1"/>
    <col min="15319" max="15319" width="15.7109375" style="40" customWidth="1"/>
    <col min="15320" max="15320" width="14.42578125" style="40" customWidth="1"/>
    <col min="15321" max="15321" width="0" style="40" hidden="1" customWidth="1"/>
    <col min="15322" max="15322" width="3.28515625" style="40" customWidth="1"/>
    <col min="15323" max="15323" width="0" style="40" hidden="1" customWidth="1"/>
    <col min="15324" max="15324" width="14.85546875" style="40" bestFit="1" customWidth="1"/>
    <col min="15325" max="15325" width="11.5703125" style="40" bestFit="1" customWidth="1"/>
    <col min="15326" max="15326" width="11.42578125" style="40"/>
    <col min="15327" max="15327" width="17.7109375" style="40" bestFit="1" customWidth="1"/>
    <col min="15328" max="15571" width="11.42578125" style="40"/>
    <col min="15572" max="15572" width="48.28515625" style="40" customWidth="1"/>
    <col min="15573" max="15574" width="11.5703125" style="40" customWidth="1"/>
    <col min="15575" max="15575" width="15.7109375" style="40" customWidth="1"/>
    <col min="15576" max="15576" width="14.42578125" style="40" customWidth="1"/>
    <col min="15577" max="15577" width="0" style="40" hidden="1" customWidth="1"/>
    <col min="15578" max="15578" width="3.28515625" style="40" customWidth="1"/>
    <col min="15579" max="15579" width="0" style="40" hidden="1" customWidth="1"/>
    <col min="15580" max="15580" width="14.85546875" style="40" bestFit="1" customWidth="1"/>
    <col min="15581" max="15581" width="11.5703125" style="40" bestFit="1" customWidth="1"/>
    <col min="15582" max="15582" width="11.42578125" style="40"/>
    <col min="15583" max="15583" width="17.7109375" style="40" bestFit="1" customWidth="1"/>
    <col min="15584" max="15827" width="11.42578125" style="40"/>
    <col min="15828" max="15828" width="48.28515625" style="40" customWidth="1"/>
    <col min="15829" max="15830" width="11.5703125" style="40" customWidth="1"/>
    <col min="15831" max="15831" width="15.7109375" style="40" customWidth="1"/>
    <col min="15832" max="15832" width="14.42578125" style="40" customWidth="1"/>
    <col min="15833" max="15833" width="0" style="40" hidden="1" customWidth="1"/>
    <col min="15834" max="15834" width="3.28515625" style="40" customWidth="1"/>
    <col min="15835" max="15835" width="0" style="40" hidden="1" customWidth="1"/>
    <col min="15836" max="15836" width="14.85546875" style="40" bestFit="1" customWidth="1"/>
    <col min="15837" max="15837" width="11.5703125" style="40" bestFit="1" customWidth="1"/>
    <col min="15838" max="15838" width="11.42578125" style="40"/>
    <col min="15839" max="15839" width="17.7109375" style="40" bestFit="1" customWidth="1"/>
    <col min="15840" max="16083" width="11.42578125" style="40"/>
    <col min="16084" max="16084" width="48.28515625" style="40" customWidth="1"/>
    <col min="16085" max="16086" width="11.5703125" style="40" customWidth="1"/>
    <col min="16087" max="16087" width="15.7109375" style="40" customWidth="1"/>
    <col min="16088" max="16088" width="14.42578125" style="40" customWidth="1"/>
    <col min="16089" max="16089" width="0" style="40" hidden="1" customWidth="1"/>
    <col min="16090" max="16090" width="3.28515625" style="40" customWidth="1"/>
    <col min="16091" max="16091" width="0" style="40" hidden="1" customWidth="1"/>
    <col min="16092" max="16092" width="14.85546875" style="40" bestFit="1" customWidth="1"/>
    <col min="16093" max="16093" width="11.5703125" style="40" bestFit="1" customWidth="1"/>
    <col min="16094" max="16094" width="11.42578125" style="40"/>
    <col min="16095" max="16095" width="17.7109375" style="40" bestFit="1" customWidth="1"/>
    <col min="16096" max="16384" width="11.42578125" style="40"/>
  </cols>
  <sheetData>
    <row r="1" spans="1:5" hidden="1" x14ac:dyDescent="0.2">
      <c r="A1" s="119"/>
      <c r="B1" s="119"/>
      <c r="C1" s="119"/>
      <c r="D1" s="119"/>
      <c r="E1" s="119"/>
    </row>
    <row r="2" spans="1:5" x14ac:dyDescent="0.2">
      <c r="A2" s="119"/>
      <c r="B2" s="119"/>
      <c r="C2" s="119"/>
      <c r="D2" s="119"/>
      <c r="E2" s="119"/>
    </row>
    <row r="3" spans="1:5" x14ac:dyDescent="0.2">
      <c r="A3" s="119"/>
      <c r="B3" s="119"/>
      <c r="C3" s="119"/>
      <c r="D3" s="119"/>
      <c r="E3" s="119"/>
    </row>
    <row r="4" spans="1:5" x14ac:dyDescent="0.2">
      <c r="A4" s="119"/>
      <c r="B4" s="119"/>
      <c r="C4" s="119"/>
      <c r="D4" s="119"/>
      <c r="E4" s="119"/>
    </row>
    <row r="5" spans="1:5" x14ac:dyDescent="0.2">
      <c r="A5" s="119"/>
      <c r="B5" s="119"/>
      <c r="C5" s="119"/>
      <c r="D5" s="119"/>
      <c r="E5" s="119"/>
    </row>
    <row r="6" spans="1:5" x14ac:dyDescent="0.2">
      <c r="A6" s="119"/>
      <c r="B6" s="119"/>
      <c r="C6" s="119"/>
      <c r="D6" s="119"/>
      <c r="E6" s="119"/>
    </row>
    <row r="7" spans="1:5" x14ac:dyDescent="0.2">
      <c r="A7" s="119"/>
      <c r="B7" s="119"/>
      <c r="C7" s="119"/>
      <c r="D7" s="119"/>
      <c r="E7" s="119"/>
    </row>
    <row r="8" spans="1:5" x14ac:dyDescent="0.2">
      <c r="A8" s="381" t="s">
        <v>0</v>
      </c>
      <c r="B8" s="381"/>
      <c r="C8" s="381"/>
      <c r="D8" s="381"/>
      <c r="E8" s="381"/>
    </row>
    <row r="9" spans="1:5" x14ac:dyDescent="0.2">
      <c r="A9" s="381" t="s">
        <v>1</v>
      </c>
      <c r="B9" s="381"/>
      <c r="C9" s="381"/>
      <c r="D9" s="381"/>
      <c r="E9" s="381"/>
    </row>
    <row r="10" spans="1:5" x14ac:dyDescent="0.2">
      <c r="A10" s="334"/>
      <c r="B10" s="334"/>
      <c r="C10" s="119"/>
      <c r="D10" s="119"/>
      <c r="E10" s="119"/>
    </row>
    <row r="11" spans="1:5" x14ac:dyDescent="0.2">
      <c r="A11" s="381" t="s">
        <v>2</v>
      </c>
      <c r="B11" s="381"/>
      <c r="C11" s="381"/>
      <c r="D11" s="381"/>
      <c r="E11" s="381"/>
    </row>
    <row r="12" spans="1:5" x14ac:dyDescent="0.2">
      <c r="A12" s="334"/>
      <c r="B12" s="334"/>
      <c r="C12" s="119"/>
      <c r="D12" s="119"/>
      <c r="E12" s="119"/>
    </row>
    <row r="13" spans="1:5" ht="14.25" customHeight="1" x14ac:dyDescent="0.25">
      <c r="A13" s="384" t="s">
        <v>1670</v>
      </c>
      <c r="B13" s="384"/>
      <c r="C13" s="384"/>
      <c r="D13" s="384"/>
      <c r="E13" s="384"/>
    </row>
    <row r="14" spans="1:5" ht="14.25" customHeight="1" x14ac:dyDescent="0.2">
      <c r="A14" s="382" t="s">
        <v>1904</v>
      </c>
      <c r="B14" s="382"/>
      <c r="C14" s="382"/>
      <c r="D14" s="382"/>
      <c r="E14" s="382"/>
    </row>
    <row r="15" spans="1:5" ht="15" x14ac:dyDescent="0.25">
      <c r="A15" s="379" t="s">
        <v>1671</v>
      </c>
      <c r="B15" s="379"/>
      <c r="C15" s="379"/>
      <c r="D15" s="379"/>
      <c r="E15" s="379"/>
    </row>
    <row r="16" spans="1:5" x14ac:dyDescent="0.2">
      <c r="A16" s="334"/>
      <c r="B16" s="334"/>
      <c r="C16" s="119"/>
      <c r="D16" s="119"/>
      <c r="E16" s="119"/>
    </row>
    <row r="17" spans="1:6" ht="15" x14ac:dyDescent="0.25">
      <c r="A17" s="380" t="s">
        <v>1672</v>
      </c>
      <c r="B17" s="380"/>
      <c r="C17" s="380"/>
      <c r="D17" s="380"/>
      <c r="E17" s="380"/>
    </row>
    <row r="18" spans="1:6" hidden="1" x14ac:dyDescent="0.2">
      <c r="A18" s="119"/>
      <c r="B18" s="119"/>
      <c r="C18" s="119"/>
      <c r="D18" s="119"/>
      <c r="E18" s="119"/>
    </row>
    <row r="19" spans="1:6" hidden="1" x14ac:dyDescent="0.2">
      <c r="A19" s="119"/>
      <c r="B19" s="119"/>
      <c r="C19" s="119"/>
      <c r="D19" s="119"/>
      <c r="E19" s="119"/>
    </row>
    <row r="20" spans="1:6" hidden="1" x14ac:dyDescent="0.2">
      <c r="A20" s="119"/>
      <c r="B20" s="119"/>
      <c r="C20" s="119"/>
      <c r="D20" s="119"/>
      <c r="E20" s="119"/>
    </row>
    <row r="21" spans="1:6" hidden="1" x14ac:dyDescent="0.2">
      <c r="A21" s="119"/>
      <c r="B21" s="119"/>
      <c r="C21" s="119"/>
      <c r="D21" s="119"/>
      <c r="E21" s="119"/>
    </row>
    <row r="22" spans="1:6" ht="34.5" x14ac:dyDescent="0.25">
      <c r="A22" s="119"/>
      <c r="B22" s="119"/>
      <c r="C22" s="115">
        <v>44104</v>
      </c>
      <c r="D22" s="115"/>
      <c r="E22" s="344" t="s">
        <v>1798</v>
      </c>
    </row>
    <row r="23" spans="1:6" hidden="1" x14ac:dyDescent="0.2">
      <c r="A23" s="119"/>
      <c r="B23" s="119"/>
      <c r="C23" s="334"/>
      <c r="D23" s="334"/>
      <c r="E23" s="334"/>
    </row>
    <row r="24" spans="1:6" x14ac:dyDescent="0.2">
      <c r="A24" s="119"/>
      <c r="B24" s="119"/>
      <c r="C24" s="116"/>
      <c r="D24" s="116"/>
      <c r="E24" s="116"/>
    </row>
    <row r="25" spans="1:6" hidden="1" x14ac:dyDescent="0.2">
      <c r="A25" s="119"/>
      <c r="B25" s="119"/>
      <c r="C25" s="114"/>
      <c r="D25" s="114"/>
      <c r="E25" s="114"/>
    </row>
    <row r="26" spans="1:6" ht="15" x14ac:dyDescent="0.25">
      <c r="A26" s="129" t="s">
        <v>461</v>
      </c>
      <c r="B26" s="129"/>
      <c r="C26" s="130">
        <f>SUM(C28:C40)</f>
        <v>16621.624039999999</v>
      </c>
      <c r="D26" s="130"/>
      <c r="E26" s="130">
        <f>SUM(E28:E40)</f>
        <v>15891.41202</v>
      </c>
    </row>
    <row r="27" spans="1:6" ht="15" x14ac:dyDescent="0.25">
      <c r="A27" s="129"/>
      <c r="B27" s="129"/>
      <c r="C27" s="114"/>
      <c r="D27" s="114"/>
      <c r="E27" s="114"/>
    </row>
    <row r="28" spans="1:6" ht="15" x14ac:dyDescent="0.25">
      <c r="A28" s="119" t="s">
        <v>1673</v>
      </c>
      <c r="B28" s="336" t="s">
        <v>1674</v>
      </c>
      <c r="C28" s="114">
        <v>1012.5304100000001</v>
      </c>
      <c r="D28" s="114"/>
      <c r="E28" s="114">
        <f>783.73612-10.45496-8.22948</f>
        <v>765.05168000000003</v>
      </c>
      <c r="F28" s="119"/>
    </row>
    <row r="29" spans="1:6" ht="15" x14ac:dyDescent="0.25">
      <c r="A29" s="119" t="s">
        <v>1675</v>
      </c>
      <c r="B29" s="336" t="s">
        <v>1676</v>
      </c>
      <c r="C29" s="114">
        <v>2855.0195600000002</v>
      </c>
      <c r="D29" s="114"/>
      <c r="E29" s="114">
        <f>2715.09286</f>
        <v>2715.0928600000002</v>
      </c>
      <c r="F29" s="119"/>
    </row>
    <row r="30" spans="1:6" ht="15" x14ac:dyDescent="0.25">
      <c r="A30" s="119" t="s">
        <v>1677</v>
      </c>
      <c r="B30" s="335" t="s">
        <v>1678</v>
      </c>
      <c r="C30" s="114">
        <f>4245.18859-C31-C32-C33-C35</f>
        <v>1802.6490399999996</v>
      </c>
      <c r="D30" s="114"/>
      <c r="E30" s="114">
        <f>1926.78361-E31-E32-E33-83.47055</f>
        <v>1157.5726399999999</v>
      </c>
      <c r="F30" s="119"/>
    </row>
    <row r="31" spans="1:6" ht="15" x14ac:dyDescent="0.25">
      <c r="A31" s="119" t="s">
        <v>1792</v>
      </c>
      <c r="B31" s="336" t="s">
        <v>1679</v>
      </c>
      <c r="C31" s="114">
        <v>787.26959999999997</v>
      </c>
      <c r="D31" s="114"/>
      <c r="E31" s="114">
        <v>629.81568000000004</v>
      </c>
    </row>
    <row r="32" spans="1:6" ht="15" x14ac:dyDescent="0.25">
      <c r="A32" s="119" t="s">
        <v>1680</v>
      </c>
      <c r="B32" s="335" t="s">
        <v>1681</v>
      </c>
      <c r="C32" s="114">
        <v>0</v>
      </c>
      <c r="D32" s="114"/>
      <c r="E32" s="114">
        <f>83.47055-83.47055</f>
        <v>0</v>
      </c>
    </row>
    <row r="33" spans="1:6" ht="15" x14ac:dyDescent="0.25">
      <c r="A33" s="119" t="s">
        <v>1682</v>
      </c>
      <c r="B33" s="335" t="s">
        <v>1683</v>
      </c>
      <c r="C33" s="114">
        <v>69.905850000000001</v>
      </c>
      <c r="D33" s="114"/>
      <c r="E33" s="114">
        <v>55.92474</v>
      </c>
    </row>
    <row r="34" spans="1:6" ht="15" hidden="1" customHeight="1" x14ac:dyDescent="0.25">
      <c r="A34" s="119" t="s">
        <v>1684</v>
      </c>
      <c r="B34" s="336" t="s">
        <v>1683</v>
      </c>
      <c r="C34" s="114">
        <v>0</v>
      </c>
      <c r="D34" s="114"/>
      <c r="E34" s="114">
        <v>0</v>
      </c>
    </row>
    <row r="35" spans="1:6" ht="15" x14ac:dyDescent="0.25">
      <c r="A35" s="119" t="s">
        <v>1708</v>
      </c>
      <c r="B35" s="336" t="s">
        <v>1793</v>
      </c>
      <c r="C35" s="114">
        <v>1585.3641</v>
      </c>
      <c r="D35" s="114"/>
      <c r="E35" s="114">
        <v>2534.7067000000002</v>
      </c>
    </row>
    <row r="36" spans="1:6" s="48" customFormat="1" ht="15" x14ac:dyDescent="0.25">
      <c r="A36" s="119" t="s">
        <v>1685</v>
      </c>
      <c r="B36" s="336" t="s">
        <v>1687</v>
      </c>
      <c r="C36" s="114">
        <v>2753.54214</v>
      </c>
      <c r="D36" s="114"/>
      <c r="E36" s="114">
        <v>1992.5433599999999</v>
      </c>
      <c r="F36" s="40"/>
    </row>
    <row r="37" spans="1:6" ht="15" x14ac:dyDescent="0.25">
      <c r="A37" s="119" t="s">
        <v>1686</v>
      </c>
      <c r="B37" s="336" t="s">
        <v>1690</v>
      </c>
      <c r="C37" s="114">
        <v>4981.4897300000002</v>
      </c>
      <c r="D37" s="114"/>
      <c r="E37" s="114">
        <f>4939.09924</f>
        <v>4939.0992399999996</v>
      </c>
    </row>
    <row r="38" spans="1:6" ht="15" x14ac:dyDescent="0.25">
      <c r="A38" s="119" t="s">
        <v>1688</v>
      </c>
      <c r="B38" s="336"/>
      <c r="C38" s="114">
        <v>225.98609999999999</v>
      </c>
      <c r="D38" s="114"/>
      <c r="E38" s="114">
        <f>411.43106</f>
        <v>411.43106</v>
      </c>
    </row>
    <row r="39" spans="1:6" ht="15" x14ac:dyDescent="0.25">
      <c r="A39" s="119" t="s">
        <v>1689</v>
      </c>
      <c r="B39" s="336" t="s">
        <v>1692</v>
      </c>
      <c r="C39" s="111">
        <v>-111.25942999999999</v>
      </c>
      <c r="D39" s="45"/>
      <c r="E39" s="111">
        <f>-111.29166</f>
        <v>-111.29165999999999</v>
      </c>
    </row>
    <row r="40" spans="1:6" ht="14.25" customHeight="1" x14ac:dyDescent="0.25">
      <c r="A40" s="119" t="s">
        <v>1691</v>
      </c>
      <c r="B40" s="336" t="s">
        <v>1697</v>
      </c>
      <c r="C40" s="114">
        <v>659.12693999999999</v>
      </c>
      <c r="D40" s="114"/>
      <c r="E40" s="114">
        <f>801.46572</f>
        <v>801.46572000000003</v>
      </c>
    </row>
    <row r="41" spans="1:6" ht="15" x14ac:dyDescent="0.25">
      <c r="A41" s="119"/>
      <c r="B41" s="336"/>
      <c r="C41" s="114"/>
      <c r="D41" s="114"/>
      <c r="E41" s="114"/>
    </row>
    <row r="42" spans="1:6" ht="15" x14ac:dyDescent="0.25">
      <c r="A42" s="129" t="s">
        <v>1073</v>
      </c>
      <c r="B42" s="337"/>
      <c r="C42" s="130">
        <f>C44</f>
        <v>105040.46244999999</v>
      </c>
      <c r="D42" s="130"/>
      <c r="E42" s="130">
        <f>E44</f>
        <v>100284.18556000001</v>
      </c>
    </row>
    <row r="43" spans="1:6" ht="15" x14ac:dyDescent="0.25">
      <c r="A43" s="129"/>
      <c r="B43" s="337"/>
      <c r="C43" s="114"/>
      <c r="D43" s="114"/>
      <c r="E43" s="114"/>
    </row>
    <row r="44" spans="1:6" ht="15" x14ac:dyDescent="0.25">
      <c r="A44" s="119" t="s">
        <v>1694</v>
      </c>
      <c r="B44" s="336"/>
      <c r="C44" s="130">
        <f>SUM(C46:C50)</f>
        <v>105040.46244999999</v>
      </c>
      <c r="D44" s="130"/>
      <c r="E44" s="130">
        <f>SUM(E46:E50)</f>
        <v>100284.18556000001</v>
      </c>
    </row>
    <row r="45" spans="1:6" ht="15" x14ac:dyDescent="0.25">
      <c r="A45" s="119"/>
      <c r="B45" s="336"/>
      <c r="C45" s="114"/>
      <c r="D45" s="114"/>
      <c r="E45" s="114"/>
    </row>
    <row r="46" spans="1:6" ht="15" x14ac:dyDescent="0.25">
      <c r="A46" s="119" t="s">
        <v>1792</v>
      </c>
      <c r="B46" s="336" t="s">
        <v>1679</v>
      </c>
      <c r="C46" s="114">
        <v>2503.93534</v>
      </c>
      <c r="D46" s="114"/>
      <c r="E46" s="114">
        <f>2981.72338</f>
        <v>2981.7233799999999</v>
      </c>
    </row>
    <row r="47" spans="1:6" ht="15" x14ac:dyDescent="0.25">
      <c r="A47" s="119" t="s">
        <v>1695</v>
      </c>
      <c r="B47" s="335" t="s">
        <v>1683</v>
      </c>
      <c r="C47" s="114">
        <v>36.421949999999995</v>
      </c>
      <c r="D47" s="114"/>
      <c r="E47" s="114">
        <f>97.83282</f>
        <v>97.832819999999998</v>
      </c>
    </row>
    <row r="48" spans="1:6" s="49" customFormat="1" ht="15" x14ac:dyDescent="0.25">
      <c r="A48" s="119" t="s">
        <v>1696</v>
      </c>
      <c r="B48" s="336" t="s">
        <v>1693</v>
      </c>
      <c r="C48" s="114">
        <v>54362.783259999997</v>
      </c>
      <c r="D48" s="114"/>
      <c r="E48" s="114">
        <v>53148.196060000002</v>
      </c>
    </row>
    <row r="49" spans="1:6" s="49" customFormat="1" ht="15" x14ac:dyDescent="0.25">
      <c r="A49" s="119" t="s">
        <v>1708</v>
      </c>
      <c r="B49" s="336" t="s">
        <v>1793</v>
      </c>
      <c r="C49" s="114">
        <v>23887.281559999999</v>
      </c>
      <c r="D49" s="114"/>
      <c r="E49" s="114">
        <v>22812.3603</v>
      </c>
    </row>
    <row r="50" spans="1:6" s="49" customFormat="1" ht="15" x14ac:dyDescent="0.25">
      <c r="A50" s="119" t="s">
        <v>1709</v>
      </c>
      <c r="B50" s="336" t="s">
        <v>1794</v>
      </c>
      <c r="C50" s="114">
        <v>24250.04034</v>
      </c>
      <c r="D50" s="114"/>
      <c r="E50" s="114">
        <f>44056.4333-E49</f>
        <v>21244.072999999997</v>
      </c>
    </row>
    <row r="51" spans="1:6" s="49" customFormat="1" ht="15" x14ac:dyDescent="0.25">
      <c r="A51" s="119"/>
      <c r="B51" s="336"/>
      <c r="C51" s="114"/>
      <c r="D51" s="114"/>
      <c r="E51" s="114"/>
    </row>
    <row r="52" spans="1:6" s="49" customFormat="1" ht="15" x14ac:dyDescent="0.25">
      <c r="A52" s="119"/>
      <c r="B52" s="336"/>
      <c r="C52" s="114"/>
      <c r="D52" s="114"/>
      <c r="E52" s="114"/>
    </row>
    <row r="53" spans="1:6" ht="15" x14ac:dyDescent="0.25">
      <c r="A53" s="129" t="s">
        <v>1698</v>
      </c>
      <c r="B53" s="337"/>
      <c r="C53" s="130">
        <f>SUM(C55:C62)</f>
        <v>188424.57889000003</v>
      </c>
      <c r="D53" s="130"/>
      <c r="E53" s="130">
        <f>SUM(E55:E62)</f>
        <v>196952.27075000003</v>
      </c>
    </row>
    <row r="54" spans="1:6" ht="15" x14ac:dyDescent="0.25">
      <c r="A54" s="129"/>
      <c r="B54" s="337"/>
      <c r="C54" s="114"/>
      <c r="D54" s="114"/>
      <c r="E54" s="114"/>
    </row>
    <row r="55" spans="1:6" ht="15" x14ac:dyDescent="0.25">
      <c r="A55" s="119" t="s">
        <v>1699</v>
      </c>
      <c r="B55" s="336" t="s">
        <v>1787</v>
      </c>
      <c r="C55" s="114">
        <v>273318.71310000005</v>
      </c>
      <c r="D55" s="114"/>
      <c r="E55" s="114">
        <v>273318.71310000005</v>
      </c>
    </row>
    <row r="56" spans="1:6" ht="15" x14ac:dyDescent="0.25">
      <c r="A56" s="119" t="s">
        <v>1700</v>
      </c>
      <c r="B56" s="336" t="s">
        <v>1693</v>
      </c>
      <c r="C56" s="114">
        <v>8546.6066599999995</v>
      </c>
      <c r="D56" s="114"/>
      <c r="E56" s="114">
        <v>8546.6066599999995</v>
      </c>
    </row>
    <row r="57" spans="1:6" ht="15" hidden="1" x14ac:dyDescent="0.25">
      <c r="A57" s="119" t="s">
        <v>1711</v>
      </c>
      <c r="B57" s="336"/>
      <c r="C57" s="114">
        <v>0</v>
      </c>
      <c r="D57" s="114"/>
      <c r="E57" s="114">
        <v>0</v>
      </c>
    </row>
    <row r="58" spans="1:6" ht="15" x14ac:dyDescent="0.25">
      <c r="A58" s="119" t="s">
        <v>1710</v>
      </c>
      <c r="B58" s="336" t="s">
        <v>1703</v>
      </c>
      <c r="C58" s="114">
        <v>-11153.597</v>
      </c>
      <c r="D58" s="45"/>
      <c r="E58" s="114">
        <v>-7657.7569999999996</v>
      </c>
    </row>
    <row r="59" spans="1:6" s="49" customFormat="1" ht="15" x14ac:dyDescent="0.25">
      <c r="A59" s="119" t="s">
        <v>1701</v>
      </c>
      <c r="B59" s="336" t="s">
        <v>1788</v>
      </c>
      <c r="C59" s="114">
        <v>1494.4804299999998</v>
      </c>
      <c r="D59" s="114"/>
      <c r="E59" s="114">
        <f>1461.09036</f>
        <v>1461.0903599999999</v>
      </c>
    </row>
    <row r="60" spans="1:6" ht="15" hidden="1" x14ac:dyDescent="0.25">
      <c r="A60" s="131" t="s">
        <v>1702</v>
      </c>
      <c r="B60" s="132" t="s">
        <v>1703</v>
      </c>
      <c r="C60" s="114">
        <v>0</v>
      </c>
      <c r="D60" s="50"/>
      <c r="E60" s="114">
        <v>0</v>
      </c>
    </row>
    <row r="61" spans="1:6" ht="15" x14ac:dyDescent="0.25">
      <c r="A61" s="119" t="s">
        <v>1704</v>
      </c>
      <c r="B61" s="336" t="s">
        <v>1795</v>
      </c>
      <c r="C61" s="111">
        <v>-83781.624299999996</v>
      </c>
      <c r="D61" s="45"/>
      <c r="E61" s="111">
        <f>-39885.15436-37389.714+10.45496+8.22948+83.47055-1543.669</f>
        <v>-78716.382369999992</v>
      </c>
      <c r="F61" s="121"/>
    </row>
    <row r="62" spans="1:6" ht="15" hidden="1" x14ac:dyDescent="0.25">
      <c r="A62" s="119" t="s">
        <v>1705</v>
      </c>
      <c r="B62" s="336" t="s">
        <v>1706</v>
      </c>
      <c r="C62" s="114">
        <v>0</v>
      </c>
      <c r="D62" s="114"/>
      <c r="E62" s="114">
        <v>0</v>
      </c>
    </row>
    <row r="63" spans="1:6" ht="15" x14ac:dyDescent="0.25">
      <c r="A63" s="119"/>
      <c r="B63" s="336"/>
      <c r="C63" s="114"/>
      <c r="D63" s="114"/>
      <c r="E63" s="114"/>
    </row>
    <row r="64" spans="1:6" ht="15" x14ac:dyDescent="0.25">
      <c r="A64" s="129" t="s">
        <v>1119</v>
      </c>
      <c r="B64" s="336"/>
      <c r="C64" s="130">
        <f>SUM(C66)</f>
        <v>1236.71749</v>
      </c>
      <c r="D64" s="44"/>
      <c r="E64" s="130">
        <f>SUM(E66)</f>
        <v>1236.71749</v>
      </c>
    </row>
    <row r="65" spans="1:5" ht="15" x14ac:dyDescent="0.25">
      <c r="A65" s="129"/>
      <c r="B65" s="336"/>
      <c r="C65" s="114"/>
      <c r="D65" s="114"/>
      <c r="E65" s="114"/>
    </row>
    <row r="66" spans="1:5" ht="15" x14ac:dyDescent="0.25">
      <c r="A66" s="119" t="s">
        <v>1707</v>
      </c>
      <c r="B66" s="336" t="s">
        <v>1718</v>
      </c>
      <c r="C66" s="114">
        <v>1236.71749</v>
      </c>
      <c r="D66" s="45"/>
      <c r="E66" s="114">
        <v>1236.71749</v>
      </c>
    </row>
    <row r="67" spans="1:5" ht="15" x14ac:dyDescent="0.25">
      <c r="A67" s="119"/>
      <c r="B67" s="336"/>
      <c r="C67" s="114"/>
      <c r="D67" s="114"/>
      <c r="E67" s="114"/>
    </row>
    <row r="68" spans="1:5" ht="15" x14ac:dyDescent="0.25">
      <c r="A68" s="129" t="s">
        <v>1669</v>
      </c>
      <c r="B68" s="112"/>
      <c r="C68" s="133">
        <f>SUM(C26+C42+C53+C66)</f>
        <v>311323.38287000003</v>
      </c>
      <c r="D68" s="133"/>
      <c r="E68" s="133">
        <f>SUM(E26+E42+E53+E66)</f>
        <v>314364.58582000004</v>
      </c>
    </row>
    <row r="69" spans="1:5" x14ac:dyDescent="0.2">
      <c r="A69" s="119"/>
      <c r="B69" s="119"/>
      <c r="C69" s="130"/>
      <c r="D69" s="130"/>
      <c r="E69" s="119"/>
    </row>
    <row r="70" spans="1:5" x14ac:dyDescent="0.2">
      <c r="A70" s="119"/>
      <c r="B70" s="119"/>
      <c r="C70" s="130"/>
      <c r="D70" s="130"/>
      <c r="E70" s="119"/>
    </row>
    <row r="71" spans="1:5" x14ac:dyDescent="0.2">
      <c r="A71" s="119"/>
      <c r="B71" s="119"/>
      <c r="C71" s="119"/>
      <c r="D71" s="119"/>
      <c r="E71" s="119"/>
    </row>
    <row r="72" spans="1:5" x14ac:dyDescent="0.2">
      <c r="A72" s="383" t="s">
        <v>53</v>
      </c>
      <c r="B72" s="383"/>
      <c r="C72" s="383"/>
      <c r="D72" s="383"/>
      <c r="E72" s="383"/>
    </row>
    <row r="74" spans="1:5" x14ac:dyDescent="0.2">
      <c r="E74" s="47"/>
    </row>
    <row r="75" spans="1:5" x14ac:dyDescent="0.2">
      <c r="C75" s="47"/>
    </row>
    <row r="76" spans="1:5" x14ac:dyDescent="0.2">
      <c r="C76" s="47"/>
    </row>
    <row r="79" spans="1:5" x14ac:dyDescent="0.2">
      <c r="C79" s="47"/>
    </row>
    <row r="102" spans="1:2" x14ac:dyDescent="0.2">
      <c r="A102" s="41"/>
      <c r="B102" s="41"/>
    </row>
  </sheetData>
  <mergeCells count="8">
    <mergeCell ref="A9:E9"/>
    <mergeCell ref="A8:E8"/>
    <mergeCell ref="A72:E72"/>
    <mergeCell ref="A11:E11"/>
    <mergeCell ref="A13:E13"/>
    <mergeCell ref="A14:E14"/>
    <mergeCell ref="A15:E15"/>
    <mergeCell ref="A17:E17"/>
  </mergeCells>
  <pageMargins left="0.98425196850393704" right="0.78740157480314965" top="1.3385826771653544" bottom="0.35433070866141736" header="1.3779527559055118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8"/>
  <sheetViews>
    <sheetView zoomScale="121" zoomScaleNormal="121" workbookViewId="0">
      <selection activeCell="B1" sqref="B1"/>
    </sheetView>
  </sheetViews>
  <sheetFormatPr defaultRowHeight="12.75" x14ac:dyDescent="0.2"/>
  <cols>
    <col min="1" max="1" width="13.85546875" style="39" customWidth="1"/>
    <col min="2" max="2" width="2.140625" style="39" customWidth="1"/>
    <col min="3" max="3" width="23.5703125" style="39" customWidth="1"/>
    <col min="4" max="4" width="26.85546875" style="39" customWidth="1"/>
    <col min="5" max="5" width="16.140625" style="39" customWidth="1"/>
    <col min="6" max="6" width="15.42578125" style="39" customWidth="1"/>
    <col min="7" max="7" width="2.140625" style="39" customWidth="1"/>
    <col min="8" max="8" width="14" style="39" customWidth="1"/>
    <col min="9" max="9" width="2.140625" style="39" customWidth="1"/>
    <col min="10" max="10" width="11" style="39" bestFit="1" customWidth="1"/>
    <col min="11" max="11" width="13.42578125" style="39" bestFit="1" customWidth="1"/>
    <col min="12" max="256" width="9.140625" style="39"/>
    <col min="257" max="257" width="13.85546875" style="39" customWidth="1"/>
    <col min="258" max="258" width="2.140625" style="39" customWidth="1"/>
    <col min="259" max="259" width="23.5703125" style="39" customWidth="1"/>
    <col min="260" max="260" width="26.85546875" style="39" customWidth="1"/>
    <col min="261" max="261" width="16.140625" style="39" customWidth="1"/>
    <col min="262" max="262" width="15.42578125" style="39" customWidth="1"/>
    <col min="263" max="263" width="2.140625" style="39" customWidth="1"/>
    <col min="264" max="264" width="14" style="39" customWidth="1"/>
    <col min="265" max="265" width="2.140625" style="39" customWidth="1"/>
    <col min="266" max="266" width="15.42578125" style="39" customWidth="1"/>
    <col min="267" max="512" width="9.140625" style="39"/>
    <col min="513" max="513" width="13.85546875" style="39" customWidth="1"/>
    <col min="514" max="514" width="2.140625" style="39" customWidth="1"/>
    <col min="515" max="515" width="23.5703125" style="39" customWidth="1"/>
    <col min="516" max="516" width="26.85546875" style="39" customWidth="1"/>
    <col min="517" max="517" width="16.140625" style="39" customWidth="1"/>
    <col min="518" max="518" width="15.42578125" style="39" customWidth="1"/>
    <col min="519" max="519" width="2.140625" style="39" customWidth="1"/>
    <col min="520" max="520" width="14" style="39" customWidth="1"/>
    <col min="521" max="521" width="2.140625" style="39" customWidth="1"/>
    <col min="522" max="522" width="15.42578125" style="39" customWidth="1"/>
    <col min="523" max="768" width="9.140625" style="39"/>
    <col min="769" max="769" width="13.85546875" style="39" customWidth="1"/>
    <col min="770" max="770" width="2.140625" style="39" customWidth="1"/>
    <col min="771" max="771" width="23.5703125" style="39" customWidth="1"/>
    <col min="772" max="772" width="26.85546875" style="39" customWidth="1"/>
    <col min="773" max="773" width="16.140625" style="39" customWidth="1"/>
    <col min="774" max="774" width="15.42578125" style="39" customWidth="1"/>
    <col min="775" max="775" width="2.140625" style="39" customWidth="1"/>
    <col min="776" max="776" width="14" style="39" customWidth="1"/>
    <col min="777" max="777" width="2.140625" style="39" customWidth="1"/>
    <col min="778" max="778" width="15.42578125" style="39" customWidth="1"/>
    <col min="779" max="1024" width="9.140625" style="39"/>
    <col min="1025" max="1025" width="13.85546875" style="39" customWidth="1"/>
    <col min="1026" max="1026" width="2.140625" style="39" customWidth="1"/>
    <col min="1027" max="1027" width="23.5703125" style="39" customWidth="1"/>
    <col min="1028" max="1028" width="26.85546875" style="39" customWidth="1"/>
    <col min="1029" max="1029" width="16.140625" style="39" customWidth="1"/>
    <col min="1030" max="1030" width="15.42578125" style="39" customWidth="1"/>
    <col min="1031" max="1031" width="2.140625" style="39" customWidth="1"/>
    <col min="1032" max="1032" width="14" style="39" customWidth="1"/>
    <col min="1033" max="1033" width="2.140625" style="39" customWidth="1"/>
    <col min="1034" max="1034" width="15.42578125" style="39" customWidth="1"/>
    <col min="1035" max="1280" width="9.140625" style="39"/>
    <col min="1281" max="1281" width="13.85546875" style="39" customWidth="1"/>
    <col min="1282" max="1282" width="2.140625" style="39" customWidth="1"/>
    <col min="1283" max="1283" width="23.5703125" style="39" customWidth="1"/>
    <col min="1284" max="1284" width="26.85546875" style="39" customWidth="1"/>
    <col min="1285" max="1285" width="16.140625" style="39" customWidth="1"/>
    <col min="1286" max="1286" width="15.42578125" style="39" customWidth="1"/>
    <col min="1287" max="1287" width="2.140625" style="39" customWidth="1"/>
    <col min="1288" max="1288" width="14" style="39" customWidth="1"/>
    <col min="1289" max="1289" width="2.140625" style="39" customWidth="1"/>
    <col min="1290" max="1290" width="15.42578125" style="39" customWidth="1"/>
    <col min="1291" max="1536" width="9.140625" style="39"/>
    <col min="1537" max="1537" width="13.85546875" style="39" customWidth="1"/>
    <col min="1538" max="1538" width="2.140625" style="39" customWidth="1"/>
    <col min="1539" max="1539" width="23.5703125" style="39" customWidth="1"/>
    <col min="1540" max="1540" width="26.85546875" style="39" customWidth="1"/>
    <col min="1541" max="1541" width="16.140625" style="39" customWidth="1"/>
    <col min="1542" max="1542" width="15.42578125" style="39" customWidth="1"/>
    <col min="1543" max="1543" width="2.140625" style="39" customWidth="1"/>
    <col min="1544" max="1544" width="14" style="39" customWidth="1"/>
    <col min="1545" max="1545" width="2.140625" style="39" customWidth="1"/>
    <col min="1546" max="1546" width="15.42578125" style="39" customWidth="1"/>
    <col min="1547" max="1792" width="9.140625" style="39"/>
    <col min="1793" max="1793" width="13.85546875" style="39" customWidth="1"/>
    <col min="1794" max="1794" width="2.140625" style="39" customWidth="1"/>
    <col min="1795" max="1795" width="23.5703125" style="39" customWidth="1"/>
    <col min="1796" max="1796" width="26.85546875" style="39" customWidth="1"/>
    <col min="1797" max="1797" width="16.140625" style="39" customWidth="1"/>
    <col min="1798" max="1798" width="15.42578125" style="39" customWidth="1"/>
    <col min="1799" max="1799" width="2.140625" style="39" customWidth="1"/>
    <col min="1800" max="1800" width="14" style="39" customWidth="1"/>
    <col min="1801" max="1801" width="2.140625" style="39" customWidth="1"/>
    <col min="1802" max="1802" width="15.42578125" style="39" customWidth="1"/>
    <col min="1803" max="2048" width="9.140625" style="39"/>
    <col min="2049" max="2049" width="13.85546875" style="39" customWidth="1"/>
    <col min="2050" max="2050" width="2.140625" style="39" customWidth="1"/>
    <col min="2051" max="2051" width="23.5703125" style="39" customWidth="1"/>
    <col min="2052" max="2052" width="26.85546875" style="39" customWidth="1"/>
    <col min="2053" max="2053" width="16.140625" style="39" customWidth="1"/>
    <col min="2054" max="2054" width="15.42578125" style="39" customWidth="1"/>
    <col min="2055" max="2055" width="2.140625" style="39" customWidth="1"/>
    <col min="2056" max="2056" width="14" style="39" customWidth="1"/>
    <col min="2057" max="2057" width="2.140625" style="39" customWidth="1"/>
    <col min="2058" max="2058" width="15.42578125" style="39" customWidth="1"/>
    <col min="2059" max="2304" width="9.140625" style="39"/>
    <col min="2305" max="2305" width="13.85546875" style="39" customWidth="1"/>
    <col min="2306" max="2306" width="2.140625" style="39" customWidth="1"/>
    <col min="2307" max="2307" width="23.5703125" style="39" customWidth="1"/>
    <col min="2308" max="2308" width="26.85546875" style="39" customWidth="1"/>
    <col min="2309" max="2309" width="16.140625" style="39" customWidth="1"/>
    <col min="2310" max="2310" width="15.42578125" style="39" customWidth="1"/>
    <col min="2311" max="2311" width="2.140625" style="39" customWidth="1"/>
    <col min="2312" max="2312" width="14" style="39" customWidth="1"/>
    <col min="2313" max="2313" width="2.140625" style="39" customWidth="1"/>
    <col min="2314" max="2314" width="15.42578125" style="39" customWidth="1"/>
    <col min="2315" max="2560" width="9.140625" style="39"/>
    <col min="2561" max="2561" width="13.85546875" style="39" customWidth="1"/>
    <col min="2562" max="2562" width="2.140625" style="39" customWidth="1"/>
    <col min="2563" max="2563" width="23.5703125" style="39" customWidth="1"/>
    <col min="2564" max="2564" width="26.85546875" style="39" customWidth="1"/>
    <col min="2565" max="2565" width="16.140625" style="39" customWidth="1"/>
    <col min="2566" max="2566" width="15.42578125" style="39" customWidth="1"/>
    <col min="2567" max="2567" width="2.140625" style="39" customWidth="1"/>
    <col min="2568" max="2568" width="14" style="39" customWidth="1"/>
    <col min="2569" max="2569" width="2.140625" style="39" customWidth="1"/>
    <col min="2570" max="2570" width="15.42578125" style="39" customWidth="1"/>
    <col min="2571" max="2816" width="9.140625" style="39"/>
    <col min="2817" max="2817" width="13.85546875" style="39" customWidth="1"/>
    <col min="2818" max="2818" width="2.140625" style="39" customWidth="1"/>
    <col min="2819" max="2819" width="23.5703125" style="39" customWidth="1"/>
    <col min="2820" max="2820" width="26.85546875" style="39" customWidth="1"/>
    <col min="2821" max="2821" width="16.140625" style="39" customWidth="1"/>
    <col min="2822" max="2822" width="15.42578125" style="39" customWidth="1"/>
    <col min="2823" max="2823" width="2.140625" style="39" customWidth="1"/>
    <col min="2824" max="2824" width="14" style="39" customWidth="1"/>
    <col min="2825" max="2825" width="2.140625" style="39" customWidth="1"/>
    <col min="2826" max="2826" width="15.42578125" style="39" customWidth="1"/>
    <col min="2827" max="3072" width="9.140625" style="39"/>
    <col min="3073" max="3073" width="13.85546875" style="39" customWidth="1"/>
    <col min="3074" max="3074" width="2.140625" style="39" customWidth="1"/>
    <col min="3075" max="3075" width="23.5703125" style="39" customWidth="1"/>
    <col min="3076" max="3076" width="26.85546875" style="39" customWidth="1"/>
    <col min="3077" max="3077" width="16.140625" style="39" customWidth="1"/>
    <col min="3078" max="3078" width="15.42578125" style="39" customWidth="1"/>
    <col min="3079" max="3079" width="2.140625" style="39" customWidth="1"/>
    <col min="3080" max="3080" width="14" style="39" customWidth="1"/>
    <col min="3081" max="3081" width="2.140625" style="39" customWidth="1"/>
    <col min="3082" max="3082" width="15.42578125" style="39" customWidth="1"/>
    <col min="3083" max="3328" width="9.140625" style="39"/>
    <col min="3329" max="3329" width="13.85546875" style="39" customWidth="1"/>
    <col min="3330" max="3330" width="2.140625" style="39" customWidth="1"/>
    <col min="3331" max="3331" width="23.5703125" style="39" customWidth="1"/>
    <col min="3332" max="3332" width="26.85546875" style="39" customWidth="1"/>
    <col min="3333" max="3333" width="16.140625" style="39" customWidth="1"/>
    <col min="3334" max="3334" width="15.42578125" style="39" customWidth="1"/>
    <col min="3335" max="3335" width="2.140625" style="39" customWidth="1"/>
    <col min="3336" max="3336" width="14" style="39" customWidth="1"/>
    <col min="3337" max="3337" width="2.140625" style="39" customWidth="1"/>
    <col min="3338" max="3338" width="15.42578125" style="39" customWidth="1"/>
    <col min="3339" max="3584" width="9.140625" style="39"/>
    <col min="3585" max="3585" width="13.85546875" style="39" customWidth="1"/>
    <col min="3586" max="3586" width="2.140625" style="39" customWidth="1"/>
    <col min="3587" max="3587" width="23.5703125" style="39" customWidth="1"/>
    <col min="3588" max="3588" width="26.85546875" style="39" customWidth="1"/>
    <col min="3589" max="3589" width="16.140625" style="39" customWidth="1"/>
    <col min="3590" max="3590" width="15.42578125" style="39" customWidth="1"/>
    <col min="3591" max="3591" width="2.140625" style="39" customWidth="1"/>
    <col min="3592" max="3592" width="14" style="39" customWidth="1"/>
    <col min="3593" max="3593" width="2.140625" style="39" customWidth="1"/>
    <col min="3594" max="3594" width="15.42578125" style="39" customWidth="1"/>
    <col min="3595" max="3840" width="9.140625" style="39"/>
    <col min="3841" max="3841" width="13.85546875" style="39" customWidth="1"/>
    <col min="3842" max="3842" width="2.140625" style="39" customWidth="1"/>
    <col min="3843" max="3843" width="23.5703125" style="39" customWidth="1"/>
    <col min="3844" max="3844" width="26.85546875" style="39" customWidth="1"/>
    <col min="3845" max="3845" width="16.140625" style="39" customWidth="1"/>
    <col min="3846" max="3846" width="15.42578125" style="39" customWidth="1"/>
    <col min="3847" max="3847" width="2.140625" style="39" customWidth="1"/>
    <col min="3848" max="3848" width="14" style="39" customWidth="1"/>
    <col min="3849" max="3849" width="2.140625" style="39" customWidth="1"/>
    <col min="3850" max="3850" width="15.42578125" style="39" customWidth="1"/>
    <col min="3851" max="4096" width="9.140625" style="39"/>
    <col min="4097" max="4097" width="13.85546875" style="39" customWidth="1"/>
    <col min="4098" max="4098" width="2.140625" style="39" customWidth="1"/>
    <col min="4099" max="4099" width="23.5703125" style="39" customWidth="1"/>
    <col min="4100" max="4100" width="26.85546875" style="39" customWidth="1"/>
    <col min="4101" max="4101" width="16.140625" style="39" customWidth="1"/>
    <col min="4102" max="4102" width="15.42578125" style="39" customWidth="1"/>
    <col min="4103" max="4103" width="2.140625" style="39" customWidth="1"/>
    <col min="4104" max="4104" width="14" style="39" customWidth="1"/>
    <col min="4105" max="4105" width="2.140625" style="39" customWidth="1"/>
    <col min="4106" max="4106" width="15.42578125" style="39" customWidth="1"/>
    <col min="4107" max="4352" width="9.140625" style="39"/>
    <col min="4353" max="4353" width="13.85546875" style="39" customWidth="1"/>
    <col min="4354" max="4354" width="2.140625" style="39" customWidth="1"/>
    <col min="4355" max="4355" width="23.5703125" style="39" customWidth="1"/>
    <col min="4356" max="4356" width="26.85546875" style="39" customWidth="1"/>
    <col min="4357" max="4357" width="16.140625" style="39" customWidth="1"/>
    <col min="4358" max="4358" width="15.42578125" style="39" customWidth="1"/>
    <col min="4359" max="4359" width="2.140625" style="39" customWidth="1"/>
    <col min="4360" max="4360" width="14" style="39" customWidth="1"/>
    <col min="4361" max="4361" width="2.140625" style="39" customWidth="1"/>
    <col min="4362" max="4362" width="15.42578125" style="39" customWidth="1"/>
    <col min="4363" max="4608" width="9.140625" style="39"/>
    <col min="4609" max="4609" width="13.85546875" style="39" customWidth="1"/>
    <col min="4610" max="4610" width="2.140625" style="39" customWidth="1"/>
    <col min="4611" max="4611" width="23.5703125" style="39" customWidth="1"/>
    <col min="4612" max="4612" width="26.85546875" style="39" customWidth="1"/>
    <col min="4613" max="4613" width="16.140625" style="39" customWidth="1"/>
    <col min="4614" max="4614" width="15.42578125" style="39" customWidth="1"/>
    <col min="4615" max="4615" width="2.140625" style="39" customWidth="1"/>
    <col min="4616" max="4616" width="14" style="39" customWidth="1"/>
    <col min="4617" max="4617" width="2.140625" style="39" customWidth="1"/>
    <col min="4618" max="4618" width="15.42578125" style="39" customWidth="1"/>
    <col min="4619" max="4864" width="9.140625" style="39"/>
    <col min="4865" max="4865" width="13.85546875" style="39" customWidth="1"/>
    <col min="4866" max="4866" width="2.140625" style="39" customWidth="1"/>
    <col min="4867" max="4867" width="23.5703125" style="39" customWidth="1"/>
    <col min="4868" max="4868" width="26.85546875" style="39" customWidth="1"/>
    <col min="4869" max="4869" width="16.140625" style="39" customWidth="1"/>
    <col min="4870" max="4870" width="15.42578125" style="39" customWidth="1"/>
    <col min="4871" max="4871" width="2.140625" style="39" customWidth="1"/>
    <col min="4872" max="4872" width="14" style="39" customWidth="1"/>
    <col min="4873" max="4873" width="2.140625" style="39" customWidth="1"/>
    <col min="4874" max="4874" width="15.42578125" style="39" customWidth="1"/>
    <col min="4875" max="5120" width="9.140625" style="39"/>
    <col min="5121" max="5121" width="13.85546875" style="39" customWidth="1"/>
    <col min="5122" max="5122" width="2.140625" style="39" customWidth="1"/>
    <col min="5123" max="5123" width="23.5703125" style="39" customWidth="1"/>
    <col min="5124" max="5124" width="26.85546875" style="39" customWidth="1"/>
    <col min="5125" max="5125" width="16.140625" style="39" customWidth="1"/>
    <col min="5126" max="5126" width="15.42578125" style="39" customWidth="1"/>
    <col min="5127" max="5127" width="2.140625" style="39" customWidth="1"/>
    <col min="5128" max="5128" width="14" style="39" customWidth="1"/>
    <col min="5129" max="5129" width="2.140625" style="39" customWidth="1"/>
    <col min="5130" max="5130" width="15.42578125" style="39" customWidth="1"/>
    <col min="5131" max="5376" width="9.140625" style="39"/>
    <col min="5377" max="5377" width="13.85546875" style="39" customWidth="1"/>
    <col min="5378" max="5378" width="2.140625" style="39" customWidth="1"/>
    <col min="5379" max="5379" width="23.5703125" style="39" customWidth="1"/>
    <col min="5380" max="5380" width="26.85546875" style="39" customWidth="1"/>
    <col min="5381" max="5381" width="16.140625" style="39" customWidth="1"/>
    <col min="5382" max="5382" width="15.42578125" style="39" customWidth="1"/>
    <col min="5383" max="5383" width="2.140625" style="39" customWidth="1"/>
    <col min="5384" max="5384" width="14" style="39" customWidth="1"/>
    <col min="5385" max="5385" width="2.140625" style="39" customWidth="1"/>
    <col min="5386" max="5386" width="15.42578125" style="39" customWidth="1"/>
    <col min="5387" max="5632" width="9.140625" style="39"/>
    <col min="5633" max="5633" width="13.85546875" style="39" customWidth="1"/>
    <col min="5634" max="5634" width="2.140625" style="39" customWidth="1"/>
    <col min="5635" max="5635" width="23.5703125" style="39" customWidth="1"/>
    <col min="5636" max="5636" width="26.85546875" style="39" customWidth="1"/>
    <col min="5637" max="5637" width="16.140625" style="39" customWidth="1"/>
    <col min="5638" max="5638" width="15.42578125" style="39" customWidth="1"/>
    <col min="5639" max="5639" width="2.140625" style="39" customWidth="1"/>
    <col min="5640" max="5640" width="14" style="39" customWidth="1"/>
    <col min="5641" max="5641" width="2.140625" style="39" customWidth="1"/>
    <col min="5642" max="5642" width="15.42578125" style="39" customWidth="1"/>
    <col min="5643" max="5888" width="9.140625" style="39"/>
    <col min="5889" max="5889" width="13.85546875" style="39" customWidth="1"/>
    <col min="5890" max="5890" width="2.140625" style="39" customWidth="1"/>
    <col min="5891" max="5891" width="23.5703125" style="39" customWidth="1"/>
    <col min="5892" max="5892" width="26.85546875" style="39" customWidth="1"/>
    <col min="5893" max="5893" width="16.140625" style="39" customWidth="1"/>
    <col min="5894" max="5894" width="15.42578125" style="39" customWidth="1"/>
    <col min="5895" max="5895" width="2.140625" style="39" customWidth="1"/>
    <col min="5896" max="5896" width="14" style="39" customWidth="1"/>
    <col min="5897" max="5897" width="2.140625" style="39" customWidth="1"/>
    <col min="5898" max="5898" width="15.42578125" style="39" customWidth="1"/>
    <col min="5899" max="6144" width="9.140625" style="39"/>
    <col min="6145" max="6145" width="13.85546875" style="39" customWidth="1"/>
    <col min="6146" max="6146" width="2.140625" style="39" customWidth="1"/>
    <col min="6147" max="6147" width="23.5703125" style="39" customWidth="1"/>
    <col min="6148" max="6148" width="26.85546875" style="39" customWidth="1"/>
    <col min="6149" max="6149" width="16.140625" style="39" customWidth="1"/>
    <col min="6150" max="6150" width="15.42578125" style="39" customWidth="1"/>
    <col min="6151" max="6151" width="2.140625" style="39" customWidth="1"/>
    <col min="6152" max="6152" width="14" style="39" customWidth="1"/>
    <col min="6153" max="6153" width="2.140625" style="39" customWidth="1"/>
    <col min="6154" max="6154" width="15.42578125" style="39" customWidth="1"/>
    <col min="6155" max="6400" width="9.140625" style="39"/>
    <col min="6401" max="6401" width="13.85546875" style="39" customWidth="1"/>
    <col min="6402" max="6402" width="2.140625" style="39" customWidth="1"/>
    <col min="6403" max="6403" width="23.5703125" style="39" customWidth="1"/>
    <col min="6404" max="6404" width="26.85546875" style="39" customWidth="1"/>
    <col min="6405" max="6405" width="16.140625" style="39" customWidth="1"/>
    <col min="6406" max="6406" width="15.42578125" style="39" customWidth="1"/>
    <col min="6407" max="6407" width="2.140625" style="39" customWidth="1"/>
    <col min="6408" max="6408" width="14" style="39" customWidth="1"/>
    <col min="6409" max="6409" width="2.140625" style="39" customWidth="1"/>
    <col min="6410" max="6410" width="15.42578125" style="39" customWidth="1"/>
    <col min="6411" max="6656" width="9.140625" style="39"/>
    <col min="6657" max="6657" width="13.85546875" style="39" customWidth="1"/>
    <col min="6658" max="6658" width="2.140625" style="39" customWidth="1"/>
    <col min="6659" max="6659" width="23.5703125" style="39" customWidth="1"/>
    <col min="6660" max="6660" width="26.85546875" style="39" customWidth="1"/>
    <col min="6661" max="6661" width="16.140625" style="39" customWidth="1"/>
    <col min="6662" max="6662" width="15.42578125" style="39" customWidth="1"/>
    <col min="6663" max="6663" width="2.140625" style="39" customWidth="1"/>
    <col min="6664" max="6664" width="14" style="39" customWidth="1"/>
    <col min="6665" max="6665" width="2.140625" style="39" customWidth="1"/>
    <col min="6666" max="6666" width="15.42578125" style="39" customWidth="1"/>
    <col min="6667" max="6912" width="9.140625" style="39"/>
    <col min="6913" max="6913" width="13.85546875" style="39" customWidth="1"/>
    <col min="6914" max="6914" width="2.140625" style="39" customWidth="1"/>
    <col min="6915" max="6915" width="23.5703125" style="39" customWidth="1"/>
    <col min="6916" max="6916" width="26.85546875" style="39" customWidth="1"/>
    <col min="6917" max="6917" width="16.140625" style="39" customWidth="1"/>
    <col min="6918" max="6918" width="15.42578125" style="39" customWidth="1"/>
    <col min="6919" max="6919" width="2.140625" style="39" customWidth="1"/>
    <col min="6920" max="6920" width="14" style="39" customWidth="1"/>
    <col min="6921" max="6921" width="2.140625" style="39" customWidth="1"/>
    <col min="6922" max="6922" width="15.42578125" style="39" customWidth="1"/>
    <col min="6923" max="7168" width="9.140625" style="39"/>
    <col min="7169" max="7169" width="13.85546875" style="39" customWidth="1"/>
    <col min="7170" max="7170" width="2.140625" style="39" customWidth="1"/>
    <col min="7171" max="7171" width="23.5703125" style="39" customWidth="1"/>
    <col min="7172" max="7172" width="26.85546875" style="39" customWidth="1"/>
    <col min="7173" max="7173" width="16.140625" style="39" customWidth="1"/>
    <col min="7174" max="7174" width="15.42578125" style="39" customWidth="1"/>
    <col min="7175" max="7175" width="2.140625" style="39" customWidth="1"/>
    <col min="7176" max="7176" width="14" style="39" customWidth="1"/>
    <col min="7177" max="7177" width="2.140625" style="39" customWidth="1"/>
    <col min="7178" max="7178" width="15.42578125" style="39" customWidth="1"/>
    <col min="7179" max="7424" width="9.140625" style="39"/>
    <col min="7425" max="7425" width="13.85546875" style="39" customWidth="1"/>
    <col min="7426" max="7426" width="2.140625" style="39" customWidth="1"/>
    <col min="7427" max="7427" width="23.5703125" style="39" customWidth="1"/>
    <col min="7428" max="7428" width="26.85546875" style="39" customWidth="1"/>
    <col min="7429" max="7429" width="16.140625" style="39" customWidth="1"/>
    <col min="7430" max="7430" width="15.42578125" style="39" customWidth="1"/>
    <col min="7431" max="7431" width="2.140625" style="39" customWidth="1"/>
    <col min="7432" max="7432" width="14" style="39" customWidth="1"/>
    <col min="7433" max="7433" width="2.140625" style="39" customWidth="1"/>
    <col min="7434" max="7434" width="15.42578125" style="39" customWidth="1"/>
    <col min="7435" max="7680" width="9.140625" style="39"/>
    <col min="7681" max="7681" width="13.85546875" style="39" customWidth="1"/>
    <col min="7682" max="7682" width="2.140625" style="39" customWidth="1"/>
    <col min="7683" max="7683" width="23.5703125" style="39" customWidth="1"/>
    <col min="7684" max="7684" width="26.85546875" style="39" customWidth="1"/>
    <col min="7685" max="7685" width="16.140625" style="39" customWidth="1"/>
    <col min="7686" max="7686" width="15.42578125" style="39" customWidth="1"/>
    <col min="7687" max="7687" width="2.140625" style="39" customWidth="1"/>
    <col min="7688" max="7688" width="14" style="39" customWidth="1"/>
    <col min="7689" max="7689" width="2.140625" style="39" customWidth="1"/>
    <col min="7690" max="7690" width="15.42578125" style="39" customWidth="1"/>
    <col min="7691" max="7936" width="9.140625" style="39"/>
    <col min="7937" max="7937" width="13.85546875" style="39" customWidth="1"/>
    <col min="7938" max="7938" width="2.140625" style="39" customWidth="1"/>
    <col min="7939" max="7939" width="23.5703125" style="39" customWidth="1"/>
    <col min="7940" max="7940" width="26.85546875" style="39" customWidth="1"/>
    <col min="7941" max="7941" width="16.140625" style="39" customWidth="1"/>
    <col min="7942" max="7942" width="15.42578125" style="39" customWidth="1"/>
    <col min="7943" max="7943" width="2.140625" style="39" customWidth="1"/>
    <col min="7944" max="7944" width="14" style="39" customWidth="1"/>
    <col min="7945" max="7945" width="2.140625" style="39" customWidth="1"/>
    <col min="7946" max="7946" width="15.42578125" style="39" customWidth="1"/>
    <col min="7947" max="8192" width="9.140625" style="39"/>
    <col min="8193" max="8193" width="13.85546875" style="39" customWidth="1"/>
    <col min="8194" max="8194" width="2.140625" style="39" customWidth="1"/>
    <col min="8195" max="8195" width="23.5703125" style="39" customWidth="1"/>
    <col min="8196" max="8196" width="26.85546875" style="39" customWidth="1"/>
    <col min="8197" max="8197" width="16.140625" style="39" customWidth="1"/>
    <col min="8198" max="8198" width="15.42578125" style="39" customWidth="1"/>
    <col min="8199" max="8199" width="2.140625" style="39" customWidth="1"/>
    <col min="8200" max="8200" width="14" style="39" customWidth="1"/>
    <col min="8201" max="8201" width="2.140625" style="39" customWidth="1"/>
    <col min="8202" max="8202" width="15.42578125" style="39" customWidth="1"/>
    <col min="8203" max="8448" width="9.140625" style="39"/>
    <col min="8449" max="8449" width="13.85546875" style="39" customWidth="1"/>
    <col min="8450" max="8450" width="2.140625" style="39" customWidth="1"/>
    <col min="8451" max="8451" width="23.5703125" style="39" customWidth="1"/>
    <col min="8452" max="8452" width="26.85546875" style="39" customWidth="1"/>
    <col min="8453" max="8453" width="16.140625" style="39" customWidth="1"/>
    <col min="8454" max="8454" width="15.42578125" style="39" customWidth="1"/>
    <col min="8455" max="8455" width="2.140625" style="39" customWidth="1"/>
    <col min="8456" max="8456" width="14" style="39" customWidth="1"/>
    <col min="8457" max="8457" width="2.140625" style="39" customWidth="1"/>
    <col min="8458" max="8458" width="15.42578125" style="39" customWidth="1"/>
    <col min="8459" max="8704" width="9.140625" style="39"/>
    <col min="8705" max="8705" width="13.85546875" style="39" customWidth="1"/>
    <col min="8706" max="8706" width="2.140625" style="39" customWidth="1"/>
    <col min="8707" max="8707" width="23.5703125" style="39" customWidth="1"/>
    <col min="8708" max="8708" width="26.85546875" style="39" customWidth="1"/>
    <col min="8709" max="8709" width="16.140625" style="39" customWidth="1"/>
    <col min="8710" max="8710" width="15.42578125" style="39" customWidth="1"/>
    <col min="8711" max="8711" width="2.140625" style="39" customWidth="1"/>
    <col min="8712" max="8712" width="14" style="39" customWidth="1"/>
    <col min="8713" max="8713" width="2.140625" style="39" customWidth="1"/>
    <col min="8714" max="8714" width="15.42578125" style="39" customWidth="1"/>
    <col min="8715" max="8960" width="9.140625" style="39"/>
    <col min="8961" max="8961" width="13.85546875" style="39" customWidth="1"/>
    <col min="8962" max="8962" width="2.140625" style="39" customWidth="1"/>
    <col min="8963" max="8963" width="23.5703125" style="39" customWidth="1"/>
    <col min="8964" max="8964" width="26.85546875" style="39" customWidth="1"/>
    <col min="8965" max="8965" width="16.140625" style="39" customWidth="1"/>
    <col min="8966" max="8966" width="15.42578125" style="39" customWidth="1"/>
    <col min="8967" max="8967" width="2.140625" style="39" customWidth="1"/>
    <col min="8968" max="8968" width="14" style="39" customWidth="1"/>
    <col min="8969" max="8969" width="2.140625" style="39" customWidth="1"/>
    <col min="8970" max="8970" width="15.42578125" style="39" customWidth="1"/>
    <col min="8971" max="9216" width="9.140625" style="39"/>
    <col min="9217" max="9217" width="13.85546875" style="39" customWidth="1"/>
    <col min="9218" max="9218" width="2.140625" style="39" customWidth="1"/>
    <col min="9219" max="9219" width="23.5703125" style="39" customWidth="1"/>
    <col min="9220" max="9220" width="26.85546875" style="39" customWidth="1"/>
    <col min="9221" max="9221" width="16.140625" style="39" customWidth="1"/>
    <col min="9222" max="9222" width="15.42578125" style="39" customWidth="1"/>
    <col min="9223" max="9223" width="2.140625" style="39" customWidth="1"/>
    <col min="9224" max="9224" width="14" style="39" customWidth="1"/>
    <col min="9225" max="9225" width="2.140625" style="39" customWidth="1"/>
    <col min="9226" max="9226" width="15.42578125" style="39" customWidth="1"/>
    <col min="9227" max="9472" width="9.140625" style="39"/>
    <col min="9473" max="9473" width="13.85546875" style="39" customWidth="1"/>
    <col min="9474" max="9474" width="2.140625" style="39" customWidth="1"/>
    <col min="9475" max="9475" width="23.5703125" style="39" customWidth="1"/>
    <col min="9476" max="9476" width="26.85546875" style="39" customWidth="1"/>
    <col min="9477" max="9477" width="16.140625" style="39" customWidth="1"/>
    <col min="9478" max="9478" width="15.42578125" style="39" customWidth="1"/>
    <col min="9479" max="9479" width="2.140625" style="39" customWidth="1"/>
    <col min="9480" max="9480" width="14" style="39" customWidth="1"/>
    <col min="9481" max="9481" width="2.140625" style="39" customWidth="1"/>
    <col min="9482" max="9482" width="15.42578125" style="39" customWidth="1"/>
    <col min="9483" max="9728" width="9.140625" style="39"/>
    <col min="9729" max="9729" width="13.85546875" style="39" customWidth="1"/>
    <col min="9730" max="9730" width="2.140625" style="39" customWidth="1"/>
    <col min="9731" max="9731" width="23.5703125" style="39" customWidth="1"/>
    <col min="9732" max="9732" width="26.85546875" style="39" customWidth="1"/>
    <col min="9733" max="9733" width="16.140625" style="39" customWidth="1"/>
    <col min="9734" max="9734" width="15.42578125" style="39" customWidth="1"/>
    <col min="9735" max="9735" width="2.140625" style="39" customWidth="1"/>
    <col min="9736" max="9736" width="14" style="39" customWidth="1"/>
    <col min="9737" max="9737" width="2.140625" style="39" customWidth="1"/>
    <col min="9738" max="9738" width="15.42578125" style="39" customWidth="1"/>
    <col min="9739" max="9984" width="9.140625" style="39"/>
    <col min="9985" max="9985" width="13.85546875" style="39" customWidth="1"/>
    <col min="9986" max="9986" width="2.140625" style="39" customWidth="1"/>
    <col min="9987" max="9987" width="23.5703125" style="39" customWidth="1"/>
    <col min="9988" max="9988" width="26.85546875" style="39" customWidth="1"/>
    <col min="9989" max="9989" width="16.140625" style="39" customWidth="1"/>
    <col min="9990" max="9990" width="15.42578125" style="39" customWidth="1"/>
    <col min="9991" max="9991" width="2.140625" style="39" customWidth="1"/>
    <col min="9992" max="9992" width="14" style="39" customWidth="1"/>
    <col min="9993" max="9993" width="2.140625" style="39" customWidth="1"/>
    <col min="9994" max="9994" width="15.42578125" style="39" customWidth="1"/>
    <col min="9995" max="10240" width="9.140625" style="39"/>
    <col min="10241" max="10241" width="13.85546875" style="39" customWidth="1"/>
    <col min="10242" max="10242" width="2.140625" style="39" customWidth="1"/>
    <col min="10243" max="10243" width="23.5703125" style="39" customWidth="1"/>
    <col min="10244" max="10244" width="26.85546875" style="39" customWidth="1"/>
    <col min="10245" max="10245" width="16.140625" style="39" customWidth="1"/>
    <col min="10246" max="10246" width="15.42578125" style="39" customWidth="1"/>
    <col min="10247" max="10247" width="2.140625" style="39" customWidth="1"/>
    <col min="10248" max="10248" width="14" style="39" customWidth="1"/>
    <col min="10249" max="10249" width="2.140625" style="39" customWidth="1"/>
    <col min="10250" max="10250" width="15.42578125" style="39" customWidth="1"/>
    <col min="10251" max="10496" width="9.140625" style="39"/>
    <col min="10497" max="10497" width="13.85546875" style="39" customWidth="1"/>
    <col min="10498" max="10498" width="2.140625" style="39" customWidth="1"/>
    <col min="10499" max="10499" width="23.5703125" style="39" customWidth="1"/>
    <col min="10500" max="10500" width="26.85546875" style="39" customWidth="1"/>
    <col min="10501" max="10501" width="16.140625" style="39" customWidth="1"/>
    <col min="10502" max="10502" width="15.42578125" style="39" customWidth="1"/>
    <col min="10503" max="10503" width="2.140625" style="39" customWidth="1"/>
    <col min="10504" max="10504" width="14" style="39" customWidth="1"/>
    <col min="10505" max="10505" width="2.140625" style="39" customWidth="1"/>
    <col min="10506" max="10506" width="15.42578125" style="39" customWidth="1"/>
    <col min="10507" max="10752" width="9.140625" style="39"/>
    <col min="10753" max="10753" width="13.85546875" style="39" customWidth="1"/>
    <col min="10754" max="10754" width="2.140625" style="39" customWidth="1"/>
    <col min="10755" max="10755" width="23.5703125" style="39" customWidth="1"/>
    <col min="10756" max="10756" width="26.85546875" style="39" customWidth="1"/>
    <col min="10757" max="10757" width="16.140625" style="39" customWidth="1"/>
    <col min="10758" max="10758" width="15.42578125" style="39" customWidth="1"/>
    <col min="10759" max="10759" width="2.140625" style="39" customWidth="1"/>
    <col min="10760" max="10760" width="14" style="39" customWidth="1"/>
    <col min="10761" max="10761" width="2.140625" style="39" customWidth="1"/>
    <col min="10762" max="10762" width="15.42578125" style="39" customWidth="1"/>
    <col min="10763" max="11008" width="9.140625" style="39"/>
    <col min="11009" max="11009" width="13.85546875" style="39" customWidth="1"/>
    <col min="11010" max="11010" width="2.140625" style="39" customWidth="1"/>
    <col min="11011" max="11011" width="23.5703125" style="39" customWidth="1"/>
    <col min="11012" max="11012" width="26.85546875" style="39" customWidth="1"/>
    <col min="11013" max="11013" width="16.140625" style="39" customWidth="1"/>
    <col min="11014" max="11014" width="15.42578125" style="39" customWidth="1"/>
    <col min="11015" max="11015" width="2.140625" style="39" customWidth="1"/>
    <col min="11016" max="11016" width="14" style="39" customWidth="1"/>
    <col min="11017" max="11017" width="2.140625" style="39" customWidth="1"/>
    <col min="11018" max="11018" width="15.42578125" style="39" customWidth="1"/>
    <col min="11019" max="11264" width="9.140625" style="39"/>
    <col min="11265" max="11265" width="13.85546875" style="39" customWidth="1"/>
    <col min="11266" max="11266" width="2.140625" style="39" customWidth="1"/>
    <col min="11267" max="11267" width="23.5703125" style="39" customWidth="1"/>
    <col min="11268" max="11268" width="26.85546875" style="39" customWidth="1"/>
    <col min="11269" max="11269" width="16.140625" style="39" customWidth="1"/>
    <col min="11270" max="11270" width="15.42578125" style="39" customWidth="1"/>
    <col min="11271" max="11271" width="2.140625" style="39" customWidth="1"/>
    <col min="11272" max="11272" width="14" style="39" customWidth="1"/>
    <col min="11273" max="11273" width="2.140625" style="39" customWidth="1"/>
    <col min="11274" max="11274" width="15.42578125" style="39" customWidth="1"/>
    <col min="11275" max="11520" width="9.140625" style="39"/>
    <col min="11521" max="11521" width="13.85546875" style="39" customWidth="1"/>
    <col min="11522" max="11522" width="2.140625" style="39" customWidth="1"/>
    <col min="11523" max="11523" width="23.5703125" style="39" customWidth="1"/>
    <col min="11524" max="11524" width="26.85546875" style="39" customWidth="1"/>
    <col min="11525" max="11525" width="16.140625" style="39" customWidth="1"/>
    <col min="11526" max="11526" width="15.42578125" style="39" customWidth="1"/>
    <col min="11527" max="11527" width="2.140625" style="39" customWidth="1"/>
    <col min="11528" max="11528" width="14" style="39" customWidth="1"/>
    <col min="11529" max="11529" width="2.140625" style="39" customWidth="1"/>
    <col min="11530" max="11530" width="15.42578125" style="39" customWidth="1"/>
    <col min="11531" max="11776" width="9.140625" style="39"/>
    <col min="11777" max="11777" width="13.85546875" style="39" customWidth="1"/>
    <col min="11778" max="11778" width="2.140625" style="39" customWidth="1"/>
    <col min="11779" max="11779" width="23.5703125" style="39" customWidth="1"/>
    <col min="11780" max="11780" width="26.85546875" style="39" customWidth="1"/>
    <col min="11781" max="11781" width="16.140625" style="39" customWidth="1"/>
    <col min="11782" max="11782" width="15.42578125" style="39" customWidth="1"/>
    <col min="11783" max="11783" width="2.140625" style="39" customWidth="1"/>
    <col min="11784" max="11784" width="14" style="39" customWidth="1"/>
    <col min="11785" max="11785" width="2.140625" style="39" customWidth="1"/>
    <col min="11786" max="11786" width="15.42578125" style="39" customWidth="1"/>
    <col min="11787" max="12032" width="9.140625" style="39"/>
    <col min="12033" max="12033" width="13.85546875" style="39" customWidth="1"/>
    <col min="12034" max="12034" width="2.140625" style="39" customWidth="1"/>
    <col min="12035" max="12035" width="23.5703125" style="39" customWidth="1"/>
    <col min="12036" max="12036" width="26.85546875" style="39" customWidth="1"/>
    <col min="12037" max="12037" width="16.140625" style="39" customWidth="1"/>
    <col min="12038" max="12038" width="15.42578125" style="39" customWidth="1"/>
    <col min="12039" max="12039" width="2.140625" style="39" customWidth="1"/>
    <col min="12040" max="12040" width="14" style="39" customWidth="1"/>
    <col min="12041" max="12041" width="2.140625" style="39" customWidth="1"/>
    <col min="12042" max="12042" width="15.42578125" style="39" customWidth="1"/>
    <col min="12043" max="12288" width="9.140625" style="39"/>
    <col min="12289" max="12289" width="13.85546875" style="39" customWidth="1"/>
    <col min="12290" max="12290" width="2.140625" style="39" customWidth="1"/>
    <col min="12291" max="12291" width="23.5703125" style="39" customWidth="1"/>
    <col min="12292" max="12292" width="26.85546875" style="39" customWidth="1"/>
    <col min="12293" max="12293" width="16.140625" style="39" customWidth="1"/>
    <col min="12294" max="12294" width="15.42578125" style="39" customWidth="1"/>
    <col min="12295" max="12295" width="2.140625" style="39" customWidth="1"/>
    <col min="12296" max="12296" width="14" style="39" customWidth="1"/>
    <col min="12297" max="12297" width="2.140625" style="39" customWidth="1"/>
    <col min="12298" max="12298" width="15.42578125" style="39" customWidth="1"/>
    <col min="12299" max="12544" width="9.140625" style="39"/>
    <col min="12545" max="12545" width="13.85546875" style="39" customWidth="1"/>
    <col min="12546" max="12546" width="2.140625" style="39" customWidth="1"/>
    <col min="12547" max="12547" width="23.5703125" style="39" customWidth="1"/>
    <col min="12548" max="12548" width="26.85546875" style="39" customWidth="1"/>
    <col min="12549" max="12549" width="16.140625" style="39" customWidth="1"/>
    <col min="12550" max="12550" width="15.42578125" style="39" customWidth="1"/>
    <col min="12551" max="12551" width="2.140625" style="39" customWidth="1"/>
    <col min="12552" max="12552" width="14" style="39" customWidth="1"/>
    <col min="12553" max="12553" width="2.140625" style="39" customWidth="1"/>
    <col min="12554" max="12554" width="15.42578125" style="39" customWidth="1"/>
    <col min="12555" max="12800" width="9.140625" style="39"/>
    <col min="12801" max="12801" width="13.85546875" style="39" customWidth="1"/>
    <col min="12802" max="12802" width="2.140625" style="39" customWidth="1"/>
    <col min="12803" max="12803" width="23.5703125" style="39" customWidth="1"/>
    <col min="12804" max="12804" width="26.85546875" style="39" customWidth="1"/>
    <col min="12805" max="12805" width="16.140625" style="39" customWidth="1"/>
    <col min="12806" max="12806" width="15.42578125" style="39" customWidth="1"/>
    <col min="12807" max="12807" width="2.140625" style="39" customWidth="1"/>
    <col min="12808" max="12808" width="14" style="39" customWidth="1"/>
    <col min="12809" max="12809" width="2.140625" style="39" customWidth="1"/>
    <col min="12810" max="12810" width="15.42578125" style="39" customWidth="1"/>
    <col min="12811" max="13056" width="9.140625" style="39"/>
    <col min="13057" max="13057" width="13.85546875" style="39" customWidth="1"/>
    <col min="13058" max="13058" width="2.140625" style="39" customWidth="1"/>
    <col min="13059" max="13059" width="23.5703125" style="39" customWidth="1"/>
    <col min="13060" max="13060" width="26.85546875" style="39" customWidth="1"/>
    <col min="13061" max="13061" width="16.140625" style="39" customWidth="1"/>
    <col min="13062" max="13062" width="15.42578125" style="39" customWidth="1"/>
    <col min="13063" max="13063" width="2.140625" style="39" customWidth="1"/>
    <col min="13064" max="13064" width="14" style="39" customWidth="1"/>
    <col min="13065" max="13065" width="2.140625" style="39" customWidth="1"/>
    <col min="13066" max="13066" width="15.42578125" style="39" customWidth="1"/>
    <col min="13067" max="13312" width="9.140625" style="39"/>
    <col min="13313" max="13313" width="13.85546875" style="39" customWidth="1"/>
    <col min="13314" max="13314" width="2.140625" style="39" customWidth="1"/>
    <col min="13315" max="13315" width="23.5703125" style="39" customWidth="1"/>
    <col min="13316" max="13316" width="26.85546875" style="39" customWidth="1"/>
    <col min="13317" max="13317" width="16.140625" style="39" customWidth="1"/>
    <col min="13318" max="13318" width="15.42578125" style="39" customWidth="1"/>
    <col min="13319" max="13319" width="2.140625" style="39" customWidth="1"/>
    <col min="13320" max="13320" width="14" style="39" customWidth="1"/>
    <col min="13321" max="13321" width="2.140625" style="39" customWidth="1"/>
    <col min="13322" max="13322" width="15.42578125" style="39" customWidth="1"/>
    <col min="13323" max="13568" width="9.140625" style="39"/>
    <col min="13569" max="13569" width="13.85546875" style="39" customWidth="1"/>
    <col min="13570" max="13570" width="2.140625" style="39" customWidth="1"/>
    <col min="13571" max="13571" width="23.5703125" style="39" customWidth="1"/>
    <col min="13572" max="13572" width="26.85546875" style="39" customWidth="1"/>
    <col min="13573" max="13573" width="16.140625" style="39" customWidth="1"/>
    <col min="13574" max="13574" width="15.42578125" style="39" customWidth="1"/>
    <col min="13575" max="13575" width="2.140625" style="39" customWidth="1"/>
    <col min="13576" max="13576" width="14" style="39" customWidth="1"/>
    <col min="13577" max="13577" width="2.140625" style="39" customWidth="1"/>
    <col min="13578" max="13578" width="15.42578125" style="39" customWidth="1"/>
    <col min="13579" max="13824" width="9.140625" style="39"/>
    <col min="13825" max="13825" width="13.85546875" style="39" customWidth="1"/>
    <col min="13826" max="13826" width="2.140625" style="39" customWidth="1"/>
    <col min="13827" max="13827" width="23.5703125" style="39" customWidth="1"/>
    <col min="13828" max="13828" width="26.85546875" style="39" customWidth="1"/>
    <col min="13829" max="13829" width="16.140625" style="39" customWidth="1"/>
    <col min="13830" max="13830" width="15.42578125" style="39" customWidth="1"/>
    <col min="13831" max="13831" width="2.140625" style="39" customWidth="1"/>
    <col min="13832" max="13832" width="14" style="39" customWidth="1"/>
    <col min="13833" max="13833" width="2.140625" style="39" customWidth="1"/>
    <col min="13834" max="13834" width="15.42578125" style="39" customWidth="1"/>
    <col min="13835" max="14080" width="9.140625" style="39"/>
    <col min="14081" max="14081" width="13.85546875" style="39" customWidth="1"/>
    <col min="14082" max="14082" width="2.140625" style="39" customWidth="1"/>
    <col min="14083" max="14083" width="23.5703125" style="39" customWidth="1"/>
    <col min="14084" max="14084" width="26.85546875" style="39" customWidth="1"/>
    <col min="14085" max="14085" width="16.140625" style="39" customWidth="1"/>
    <col min="14086" max="14086" width="15.42578125" style="39" customWidth="1"/>
    <col min="14087" max="14087" width="2.140625" style="39" customWidth="1"/>
    <col min="14088" max="14088" width="14" style="39" customWidth="1"/>
    <col min="14089" max="14089" width="2.140625" style="39" customWidth="1"/>
    <col min="14090" max="14090" width="15.42578125" style="39" customWidth="1"/>
    <col min="14091" max="14336" width="9.140625" style="39"/>
    <col min="14337" max="14337" width="13.85546875" style="39" customWidth="1"/>
    <col min="14338" max="14338" width="2.140625" style="39" customWidth="1"/>
    <col min="14339" max="14339" width="23.5703125" style="39" customWidth="1"/>
    <col min="14340" max="14340" width="26.85546875" style="39" customWidth="1"/>
    <col min="14341" max="14341" width="16.140625" style="39" customWidth="1"/>
    <col min="14342" max="14342" width="15.42578125" style="39" customWidth="1"/>
    <col min="14343" max="14343" width="2.140625" style="39" customWidth="1"/>
    <col min="14344" max="14344" width="14" style="39" customWidth="1"/>
    <col min="14345" max="14345" width="2.140625" style="39" customWidth="1"/>
    <col min="14346" max="14346" width="15.42578125" style="39" customWidth="1"/>
    <col min="14347" max="14592" width="9.140625" style="39"/>
    <col min="14593" max="14593" width="13.85546875" style="39" customWidth="1"/>
    <col min="14594" max="14594" width="2.140625" style="39" customWidth="1"/>
    <col min="14595" max="14595" width="23.5703125" style="39" customWidth="1"/>
    <col min="14596" max="14596" width="26.85546875" style="39" customWidth="1"/>
    <col min="14597" max="14597" width="16.140625" style="39" customWidth="1"/>
    <col min="14598" max="14598" width="15.42578125" style="39" customWidth="1"/>
    <col min="14599" max="14599" width="2.140625" style="39" customWidth="1"/>
    <col min="14600" max="14600" width="14" style="39" customWidth="1"/>
    <col min="14601" max="14601" width="2.140625" style="39" customWidth="1"/>
    <col min="14602" max="14602" width="15.42578125" style="39" customWidth="1"/>
    <col min="14603" max="14848" width="9.140625" style="39"/>
    <col min="14849" max="14849" width="13.85546875" style="39" customWidth="1"/>
    <col min="14850" max="14850" width="2.140625" style="39" customWidth="1"/>
    <col min="14851" max="14851" width="23.5703125" style="39" customWidth="1"/>
    <col min="14852" max="14852" width="26.85546875" style="39" customWidth="1"/>
    <col min="14853" max="14853" width="16.140625" style="39" customWidth="1"/>
    <col min="14854" max="14854" width="15.42578125" style="39" customWidth="1"/>
    <col min="14855" max="14855" width="2.140625" style="39" customWidth="1"/>
    <col min="14856" max="14856" width="14" style="39" customWidth="1"/>
    <col min="14857" max="14857" width="2.140625" style="39" customWidth="1"/>
    <col min="14858" max="14858" width="15.42578125" style="39" customWidth="1"/>
    <col min="14859" max="15104" width="9.140625" style="39"/>
    <col min="15105" max="15105" width="13.85546875" style="39" customWidth="1"/>
    <col min="15106" max="15106" width="2.140625" style="39" customWidth="1"/>
    <col min="15107" max="15107" width="23.5703125" style="39" customWidth="1"/>
    <col min="15108" max="15108" width="26.85546875" style="39" customWidth="1"/>
    <col min="15109" max="15109" width="16.140625" style="39" customWidth="1"/>
    <col min="15110" max="15110" width="15.42578125" style="39" customWidth="1"/>
    <col min="15111" max="15111" width="2.140625" style="39" customWidth="1"/>
    <col min="15112" max="15112" width="14" style="39" customWidth="1"/>
    <col min="15113" max="15113" width="2.140625" style="39" customWidth="1"/>
    <col min="15114" max="15114" width="15.42578125" style="39" customWidth="1"/>
    <col min="15115" max="15360" width="9.140625" style="39"/>
    <col min="15361" max="15361" width="13.85546875" style="39" customWidth="1"/>
    <col min="15362" max="15362" width="2.140625" style="39" customWidth="1"/>
    <col min="15363" max="15363" width="23.5703125" style="39" customWidth="1"/>
    <col min="15364" max="15364" width="26.85546875" style="39" customWidth="1"/>
    <col min="15365" max="15365" width="16.140625" style="39" customWidth="1"/>
    <col min="15366" max="15366" width="15.42578125" style="39" customWidth="1"/>
    <col min="15367" max="15367" width="2.140625" style="39" customWidth="1"/>
    <col min="15368" max="15368" width="14" style="39" customWidth="1"/>
    <col min="15369" max="15369" width="2.140625" style="39" customWidth="1"/>
    <col min="15370" max="15370" width="15.42578125" style="39" customWidth="1"/>
    <col min="15371" max="15616" width="9.140625" style="39"/>
    <col min="15617" max="15617" width="13.85546875" style="39" customWidth="1"/>
    <col min="15618" max="15618" width="2.140625" style="39" customWidth="1"/>
    <col min="15619" max="15619" width="23.5703125" style="39" customWidth="1"/>
    <col min="15620" max="15620" width="26.85546875" style="39" customWidth="1"/>
    <col min="15621" max="15621" width="16.140625" style="39" customWidth="1"/>
    <col min="15622" max="15622" width="15.42578125" style="39" customWidth="1"/>
    <col min="15623" max="15623" width="2.140625" style="39" customWidth="1"/>
    <col min="15624" max="15624" width="14" style="39" customWidth="1"/>
    <col min="15625" max="15625" width="2.140625" style="39" customWidth="1"/>
    <col min="15626" max="15626" width="15.42578125" style="39" customWidth="1"/>
    <col min="15627" max="15872" width="9.140625" style="39"/>
    <col min="15873" max="15873" width="13.85546875" style="39" customWidth="1"/>
    <col min="15874" max="15874" width="2.140625" style="39" customWidth="1"/>
    <col min="15875" max="15875" width="23.5703125" style="39" customWidth="1"/>
    <col min="15876" max="15876" width="26.85546875" style="39" customWidth="1"/>
    <col min="15877" max="15877" width="16.140625" style="39" customWidth="1"/>
    <col min="15878" max="15878" width="15.42578125" style="39" customWidth="1"/>
    <col min="15879" max="15879" width="2.140625" style="39" customWidth="1"/>
    <col min="15880" max="15880" width="14" style="39" customWidth="1"/>
    <col min="15881" max="15881" width="2.140625" style="39" customWidth="1"/>
    <col min="15882" max="15882" width="15.42578125" style="39" customWidth="1"/>
    <col min="15883" max="16128" width="9.140625" style="39"/>
    <col min="16129" max="16129" width="13.85546875" style="39" customWidth="1"/>
    <col min="16130" max="16130" width="2.140625" style="39" customWidth="1"/>
    <col min="16131" max="16131" width="23.5703125" style="39" customWidth="1"/>
    <col min="16132" max="16132" width="26.85546875" style="39" customWidth="1"/>
    <col min="16133" max="16133" width="16.140625" style="39" customWidth="1"/>
    <col min="16134" max="16134" width="15.42578125" style="39" customWidth="1"/>
    <col min="16135" max="16135" width="2.140625" style="39" customWidth="1"/>
    <col min="16136" max="16136" width="14" style="39" customWidth="1"/>
    <col min="16137" max="16137" width="2.140625" style="39" customWidth="1"/>
    <col min="16138" max="16138" width="15.42578125" style="39" customWidth="1"/>
    <col min="16139" max="16384" width="9.140625" style="39"/>
  </cols>
  <sheetData>
    <row r="1" spans="1:10" ht="20.100000000000001" customHeight="1" x14ac:dyDescent="0.2">
      <c r="A1" s="75" t="s">
        <v>1424</v>
      </c>
      <c r="J1" s="76" t="s">
        <v>1738</v>
      </c>
    </row>
    <row r="2" spans="1:10" ht="23.1" customHeight="1" x14ac:dyDescent="0.2">
      <c r="A2" s="36" t="s">
        <v>55</v>
      </c>
      <c r="B2" s="36" t="s">
        <v>56</v>
      </c>
      <c r="E2" s="37" t="s">
        <v>57</v>
      </c>
      <c r="F2" s="37" t="s">
        <v>58</v>
      </c>
      <c r="H2" s="37" t="s">
        <v>59</v>
      </c>
      <c r="J2" s="37" t="s">
        <v>60</v>
      </c>
    </row>
    <row r="3" spans="1:10" ht="15.95" hidden="1" customHeight="1" x14ac:dyDescent="0.2">
      <c r="A3" s="38">
        <v>1</v>
      </c>
      <c r="B3" s="385" t="s">
        <v>62</v>
      </c>
      <c r="C3" s="386"/>
      <c r="D3" s="386"/>
      <c r="E3" s="35">
        <v>337159374.25999999</v>
      </c>
      <c r="F3" s="35">
        <v>113786961.08</v>
      </c>
      <c r="H3" s="35">
        <v>130134559.87</v>
      </c>
      <c r="J3" s="35">
        <v>320811775.47000003</v>
      </c>
    </row>
    <row r="4" spans="1:10" ht="15.95" hidden="1" customHeight="1" x14ac:dyDescent="0.2">
      <c r="A4" s="38">
        <v>11</v>
      </c>
      <c r="B4" s="385" t="s">
        <v>63</v>
      </c>
      <c r="C4" s="386"/>
      <c r="D4" s="386"/>
      <c r="E4" s="35">
        <v>10734651.66</v>
      </c>
      <c r="F4" s="35">
        <v>77509606.540000007</v>
      </c>
      <c r="H4" s="35">
        <v>79731898.75</v>
      </c>
      <c r="J4" s="35">
        <v>8512359.4499999993</v>
      </c>
    </row>
    <row r="5" spans="1:10" ht="15.95" hidden="1" customHeight="1" x14ac:dyDescent="0.2">
      <c r="A5" s="38">
        <v>111</v>
      </c>
      <c r="B5" s="385" t="s">
        <v>64</v>
      </c>
      <c r="C5" s="386"/>
      <c r="D5" s="386"/>
      <c r="E5" s="35">
        <v>3648964.03</v>
      </c>
      <c r="F5" s="35">
        <v>43479565.32</v>
      </c>
      <c r="H5" s="35">
        <v>45154180.170000002</v>
      </c>
      <c r="J5" s="35">
        <v>1974349.18</v>
      </c>
    </row>
    <row r="6" spans="1:10" ht="15.95" hidden="1" customHeight="1" x14ac:dyDescent="0.2">
      <c r="A6" s="38">
        <v>11101</v>
      </c>
      <c r="B6" s="385" t="s">
        <v>65</v>
      </c>
      <c r="C6" s="386"/>
      <c r="D6" s="386"/>
      <c r="E6" s="35">
        <v>157.93</v>
      </c>
      <c r="F6" s="35">
        <v>168251.51999999999</v>
      </c>
      <c r="H6" s="35">
        <v>164861.54</v>
      </c>
      <c r="J6" s="35">
        <v>3547.91</v>
      </c>
    </row>
    <row r="7" spans="1:10" ht="15.95" hidden="1" customHeight="1" x14ac:dyDescent="0.2">
      <c r="A7" s="38">
        <v>1110101</v>
      </c>
      <c r="B7" s="385" t="s">
        <v>66</v>
      </c>
      <c r="C7" s="386"/>
      <c r="D7" s="386"/>
      <c r="E7" s="35">
        <v>157.93</v>
      </c>
      <c r="F7" s="35">
        <v>168251.51999999999</v>
      </c>
      <c r="H7" s="35">
        <v>164861.54</v>
      </c>
      <c r="J7" s="35">
        <v>3547.91</v>
      </c>
    </row>
    <row r="8" spans="1:10" ht="15.95" hidden="1" customHeight="1" x14ac:dyDescent="0.2">
      <c r="A8" s="38" t="s">
        <v>67</v>
      </c>
      <c r="B8" s="385" t="s">
        <v>68</v>
      </c>
      <c r="C8" s="386"/>
      <c r="D8" s="386"/>
      <c r="E8" s="35">
        <v>157.93</v>
      </c>
      <c r="F8" s="35">
        <v>168251.51999999999</v>
      </c>
      <c r="H8" s="35">
        <v>164861.54</v>
      </c>
      <c r="J8" s="35">
        <v>3547.91</v>
      </c>
    </row>
    <row r="9" spans="1:10" ht="15.95" hidden="1" customHeight="1" x14ac:dyDescent="0.2">
      <c r="A9" s="38">
        <v>11102</v>
      </c>
      <c r="B9" s="385" t="s">
        <v>69</v>
      </c>
      <c r="C9" s="386"/>
      <c r="D9" s="386"/>
      <c r="E9" s="35">
        <v>0</v>
      </c>
      <c r="F9" s="35">
        <v>24123.82</v>
      </c>
      <c r="H9" s="35">
        <v>24123.82</v>
      </c>
      <c r="J9" s="35">
        <v>0</v>
      </c>
    </row>
    <row r="10" spans="1:10" ht="15.95" hidden="1" customHeight="1" x14ac:dyDescent="0.2">
      <c r="A10" s="38">
        <v>1110204</v>
      </c>
      <c r="B10" s="385" t="s">
        <v>70</v>
      </c>
      <c r="C10" s="386"/>
      <c r="D10" s="386"/>
      <c r="E10" s="35">
        <v>0</v>
      </c>
      <c r="F10" s="35">
        <v>24123.82</v>
      </c>
      <c r="H10" s="35">
        <v>24123.82</v>
      </c>
      <c r="J10" s="35">
        <v>0</v>
      </c>
    </row>
    <row r="11" spans="1:10" ht="15.95" hidden="1" customHeight="1" x14ac:dyDescent="0.2">
      <c r="A11" s="38" t="s">
        <v>1437</v>
      </c>
      <c r="B11" s="385" t="s">
        <v>1438</v>
      </c>
      <c r="C11" s="386"/>
      <c r="D11" s="386"/>
      <c r="E11" s="35">
        <v>0</v>
      </c>
      <c r="F11" s="35">
        <v>8000</v>
      </c>
      <c r="H11" s="35">
        <v>8000</v>
      </c>
      <c r="J11" s="35">
        <v>0</v>
      </c>
    </row>
    <row r="12" spans="1:10" ht="15.95" hidden="1" customHeight="1" x14ac:dyDescent="0.2">
      <c r="A12" s="38" t="s">
        <v>1439</v>
      </c>
      <c r="B12" s="385" t="s">
        <v>1440</v>
      </c>
      <c r="C12" s="386"/>
      <c r="D12" s="386"/>
      <c r="E12" s="35">
        <v>0</v>
      </c>
      <c r="F12" s="35">
        <v>12123.82</v>
      </c>
      <c r="H12" s="35">
        <v>12123.82</v>
      </c>
      <c r="J12" s="35">
        <v>0</v>
      </c>
    </row>
    <row r="13" spans="1:10" ht="15.95" hidden="1" customHeight="1" x14ac:dyDescent="0.2">
      <c r="A13" s="38" t="s">
        <v>71</v>
      </c>
      <c r="B13" s="385" t="s">
        <v>72</v>
      </c>
      <c r="C13" s="386"/>
      <c r="D13" s="386"/>
      <c r="E13" s="35">
        <v>0</v>
      </c>
      <c r="F13" s="35">
        <v>4000</v>
      </c>
      <c r="H13" s="35">
        <v>4000</v>
      </c>
      <c r="J13" s="35">
        <v>0</v>
      </c>
    </row>
    <row r="14" spans="1:10" ht="15.95" hidden="1" customHeight="1" x14ac:dyDescent="0.2">
      <c r="A14" s="38">
        <v>11103</v>
      </c>
      <c r="B14" s="385" t="s">
        <v>77</v>
      </c>
      <c r="C14" s="386"/>
      <c r="D14" s="386"/>
      <c r="E14" s="35">
        <v>423223.15</v>
      </c>
      <c r="F14" s="35">
        <v>36151094.359999999</v>
      </c>
      <c r="H14" s="35">
        <v>35631800.200000003</v>
      </c>
      <c r="J14" s="35">
        <v>942517.31</v>
      </c>
    </row>
    <row r="15" spans="1:10" ht="15.95" hidden="1" customHeight="1" x14ac:dyDescent="0.2">
      <c r="A15" s="38">
        <v>1110301</v>
      </c>
      <c r="B15" s="385" t="s">
        <v>78</v>
      </c>
      <c r="C15" s="386"/>
      <c r="D15" s="386"/>
      <c r="E15" s="35">
        <v>423223.15</v>
      </c>
      <c r="F15" s="35">
        <v>36151094.359999999</v>
      </c>
      <c r="H15" s="35">
        <v>35631800.200000003</v>
      </c>
      <c r="J15" s="35">
        <v>942517.31</v>
      </c>
    </row>
    <row r="16" spans="1:10" ht="15.95" hidden="1" customHeight="1" x14ac:dyDescent="0.2">
      <c r="A16" s="38" t="s">
        <v>79</v>
      </c>
      <c r="B16" s="385" t="s">
        <v>80</v>
      </c>
      <c r="C16" s="386"/>
      <c r="D16" s="386"/>
      <c r="E16" s="35">
        <v>423223.15</v>
      </c>
      <c r="F16" s="35">
        <v>36151094.359999999</v>
      </c>
      <c r="H16" s="35">
        <v>35631800.200000003</v>
      </c>
      <c r="J16" s="35">
        <v>942517.31</v>
      </c>
    </row>
    <row r="17" spans="1:10" ht="15.95" hidden="1" customHeight="1" x14ac:dyDescent="0.2">
      <c r="A17" s="38">
        <v>11104</v>
      </c>
      <c r="B17" s="385" t="s">
        <v>81</v>
      </c>
      <c r="C17" s="386"/>
      <c r="D17" s="386"/>
      <c r="E17" s="35">
        <v>977513.55</v>
      </c>
      <c r="F17" s="35">
        <v>3150739.75</v>
      </c>
      <c r="H17" s="35">
        <v>4127262.62</v>
      </c>
      <c r="J17" s="35">
        <v>990.68</v>
      </c>
    </row>
    <row r="18" spans="1:10" ht="15.95" hidden="1" customHeight="1" x14ac:dyDescent="0.2">
      <c r="A18" s="38">
        <v>1110401</v>
      </c>
      <c r="B18" s="385" t="s">
        <v>82</v>
      </c>
      <c r="C18" s="386"/>
      <c r="D18" s="386"/>
      <c r="E18" s="35">
        <v>977513.55</v>
      </c>
      <c r="F18" s="35">
        <v>3150739.75</v>
      </c>
      <c r="H18" s="35">
        <v>4127262.62</v>
      </c>
      <c r="J18" s="35">
        <v>990.68</v>
      </c>
    </row>
    <row r="19" spans="1:10" ht="15.95" hidden="1" customHeight="1" x14ac:dyDescent="0.2">
      <c r="A19" s="38" t="s">
        <v>83</v>
      </c>
      <c r="B19" s="385" t="s">
        <v>84</v>
      </c>
      <c r="C19" s="386"/>
      <c r="D19" s="386"/>
      <c r="E19" s="35">
        <v>977513.55</v>
      </c>
      <c r="F19" s="35">
        <v>3150739.75</v>
      </c>
      <c r="H19" s="35">
        <v>4127262.62</v>
      </c>
      <c r="J19" s="35">
        <v>990.68</v>
      </c>
    </row>
    <row r="20" spans="1:10" ht="15.95" hidden="1" customHeight="1" x14ac:dyDescent="0.2">
      <c r="A20" s="38">
        <v>11105</v>
      </c>
      <c r="B20" s="385" t="s">
        <v>85</v>
      </c>
      <c r="C20" s="386"/>
      <c r="D20" s="386"/>
      <c r="E20" s="35">
        <v>730.24</v>
      </c>
      <c r="F20" s="35">
        <v>22.12</v>
      </c>
      <c r="H20" s="35">
        <v>1.93</v>
      </c>
      <c r="J20" s="35">
        <v>750.43</v>
      </c>
    </row>
    <row r="21" spans="1:10" ht="15.95" hidden="1" customHeight="1" x14ac:dyDescent="0.2">
      <c r="A21" s="38">
        <v>1110501</v>
      </c>
      <c r="B21" s="385" t="s">
        <v>78</v>
      </c>
      <c r="C21" s="386"/>
      <c r="D21" s="386"/>
      <c r="E21" s="35">
        <v>730.24</v>
      </c>
      <c r="F21" s="35">
        <v>22.12</v>
      </c>
      <c r="H21" s="35">
        <v>1.93</v>
      </c>
      <c r="J21" s="35">
        <v>750.43</v>
      </c>
    </row>
    <row r="22" spans="1:10" ht="15.95" hidden="1" customHeight="1" x14ac:dyDescent="0.2">
      <c r="A22" s="38" t="s">
        <v>86</v>
      </c>
      <c r="B22" s="385" t="s">
        <v>87</v>
      </c>
      <c r="C22" s="386"/>
      <c r="D22" s="386"/>
      <c r="E22" s="35">
        <v>286.68</v>
      </c>
      <c r="F22" s="35">
        <v>8.65</v>
      </c>
      <c r="H22" s="35">
        <v>1.93</v>
      </c>
      <c r="J22" s="35">
        <v>293.39999999999998</v>
      </c>
    </row>
    <row r="23" spans="1:10" ht="15.95" hidden="1" customHeight="1" x14ac:dyDescent="0.2">
      <c r="A23" s="38" t="s">
        <v>88</v>
      </c>
      <c r="B23" s="385" t="s">
        <v>89</v>
      </c>
      <c r="C23" s="386"/>
      <c r="D23" s="386"/>
      <c r="E23" s="35">
        <v>443.56</v>
      </c>
      <c r="F23" s="35">
        <v>13.47</v>
      </c>
      <c r="H23" s="35">
        <v>0</v>
      </c>
      <c r="J23" s="35">
        <v>457.03</v>
      </c>
    </row>
    <row r="24" spans="1:10" ht="15.95" hidden="1" customHeight="1" x14ac:dyDescent="0.2">
      <c r="A24" s="38">
        <v>11106</v>
      </c>
      <c r="B24" s="385" t="s">
        <v>90</v>
      </c>
      <c r="C24" s="386"/>
      <c r="D24" s="386"/>
      <c r="E24" s="35">
        <v>2247339.16</v>
      </c>
      <c r="F24" s="35">
        <v>3985333.75</v>
      </c>
      <c r="H24" s="35">
        <v>5206130.0599999996</v>
      </c>
      <c r="J24" s="35">
        <v>1026542.85</v>
      </c>
    </row>
    <row r="25" spans="1:10" ht="15.95" hidden="1" customHeight="1" x14ac:dyDescent="0.2">
      <c r="A25" s="38">
        <v>1110601</v>
      </c>
      <c r="B25" s="385" t="s">
        <v>78</v>
      </c>
      <c r="C25" s="386"/>
      <c r="D25" s="386"/>
      <c r="E25" s="35">
        <v>2247339.16</v>
      </c>
      <c r="F25" s="35">
        <v>3985333.75</v>
      </c>
      <c r="H25" s="35">
        <v>5206130.0599999996</v>
      </c>
      <c r="J25" s="35">
        <v>1026542.85</v>
      </c>
    </row>
    <row r="26" spans="1:10" ht="15.95" hidden="1" customHeight="1" x14ac:dyDescent="0.2">
      <c r="A26" s="38" t="s">
        <v>91</v>
      </c>
      <c r="B26" s="385" t="s">
        <v>92</v>
      </c>
      <c r="C26" s="386"/>
      <c r="D26" s="386"/>
      <c r="E26" s="35">
        <v>0</v>
      </c>
      <c r="F26" s="35">
        <v>2557399.5</v>
      </c>
      <c r="H26" s="35">
        <v>2543961.98</v>
      </c>
      <c r="J26" s="35">
        <v>13437.52</v>
      </c>
    </row>
    <row r="27" spans="1:10" ht="15.95" hidden="1" customHeight="1" x14ac:dyDescent="0.2">
      <c r="A27" s="38" t="s">
        <v>93</v>
      </c>
      <c r="B27" s="385" t="s">
        <v>94</v>
      </c>
      <c r="C27" s="386"/>
      <c r="D27" s="386"/>
      <c r="E27" s="35">
        <v>2247339.16</v>
      </c>
      <c r="F27" s="35">
        <v>1427934.25</v>
      </c>
      <c r="H27" s="35">
        <v>2662168.08</v>
      </c>
      <c r="J27" s="35">
        <v>1013105.33</v>
      </c>
    </row>
    <row r="28" spans="1:10" ht="15.95" hidden="1" customHeight="1" x14ac:dyDescent="0.2">
      <c r="A28" s="38">
        <v>112</v>
      </c>
      <c r="B28" s="385" t="s">
        <v>95</v>
      </c>
      <c r="C28" s="386"/>
      <c r="D28" s="386"/>
      <c r="E28" s="35">
        <v>5502731.1399999997</v>
      </c>
      <c r="F28" s="35">
        <v>33134059.370000001</v>
      </c>
      <c r="H28" s="35">
        <v>34020596.159999996</v>
      </c>
      <c r="J28" s="35">
        <v>4616194.3499999996</v>
      </c>
    </row>
    <row r="29" spans="1:10" ht="15.95" hidden="1" customHeight="1" x14ac:dyDescent="0.2">
      <c r="A29" s="38">
        <v>11201</v>
      </c>
      <c r="B29" s="385" t="s">
        <v>96</v>
      </c>
      <c r="C29" s="386"/>
      <c r="D29" s="386"/>
      <c r="E29" s="35">
        <v>5138611.76</v>
      </c>
      <c r="F29" s="35">
        <v>31028289.43</v>
      </c>
      <c r="H29" s="35">
        <v>32253264.800000001</v>
      </c>
      <c r="J29" s="35">
        <v>3913636.39</v>
      </c>
    </row>
    <row r="30" spans="1:10" ht="15.95" hidden="1" customHeight="1" x14ac:dyDescent="0.2">
      <c r="A30" s="38">
        <v>1120101</v>
      </c>
      <c r="B30" s="385" t="s">
        <v>97</v>
      </c>
      <c r="C30" s="386"/>
      <c r="D30" s="386"/>
      <c r="E30" s="35">
        <v>5078246.1399999997</v>
      </c>
      <c r="F30" s="35">
        <v>31023430.73</v>
      </c>
      <c r="H30" s="35">
        <v>32247434.359999999</v>
      </c>
      <c r="J30" s="35">
        <v>3854242.51</v>
      </c>
    </row>
    <row r="31" spans="1:10" ht="15.95" hidden="1" customHeight="1" x14ac:dyDescent="0.2">
      <c r="A31" s="38" t="s">
        <v>98</v>
      </c>
      <c r="B31" s="385" t="s">
        <v>99</v>
      </c>
      <c r="C31" s="386"/>
      <c r="D31" s="386"/>
      <c r="E31" s="35">
        <v>5078246.1399999997</v>
      </c>
      <c r="F31" s="35">
        <v>31023430.73</v>
      </c>
      <c r="H31" s="35">
        <v>32247434.359999999</v>
      </c>
      <c r="J31" s="35">
        <v>3854242.51</v>
      </c>
    </row>
    <row r="32" spans="1:10" ht="15.95" hidden="1" customHeight="1" x14ac:dyDescent="0.2">
      <c r="A32" s="38">
        <v>1120102</v>
      </c>
      <c r="B32" s="385" t="s">
        <v>100</v>
      </c>
      <c r="C32" s="386"/>
      <c r="D32" s="386"/>
      <c r="E32" s="35">
        <v>60365.62</v>
      </c>
      <c r="F32" s="35">
        <v>4858.7</v>
      </c>
      <c r="H32" s="35">
        <v>5830.44</v>
      </c>
      <c r="J32" s="35">
        <v>59393.88</v>
      </c>
    </row>
    <row r="33" spans="1:10" ht="15.95" hidden="1" customHeight="1" x14ac:dyDescent="0.2">
      <c r="A33" s="38" t="s">
        <v>101</v>
      </c>
      <c r="B33" s="385" t="s">
        <v>102</v>
      </c>
      <c r="C33" s="386"/>
      <c r="D33" s="386"/>
      <c r="E33" s="35">
        <v>44032.56</v>
      </c>
      <c r="F33" s="35">
        <v>0</v>
      </c>
      <c r="H33" s="35">
        <v>0</v>
      </c>
      <c r="J33" s="35">
        <v>44032.56</v>
      </c>
    </row>
    <row r="34" spans="1:10" ht="15.95" hidden="1" customHeight="1" x14ac:dyDescent="0.2">
      <c r="A34" s="38" t="s">
        <v>103</v>
      </c>
      <c r="B34" s="385" t="s">
        <v>104</v>
      </c>
      <c r="C34" s="386"/>
      <c r="D34" s="386"/>
      <c r="E34" s="35">
        <v>4672.18</v>
      </c>
      <c r="F34" s="35">
        <v>0</v>
      </c>
      <c r="H34" s="35">
        <v>0</v>
      </c>
      <c r="J34" s="35">
        <v>4672.18</v>
      </c>
    </row>
    <row r="35" spans="1:10" ht="15.95" hidden="1" customHeight="1" x14ac:dyDescent="0.2">
      <c r="A35" s="38" t="s">
        <v>105</v>
      </c>
      <c r="B35" s="385" t="s">
        <v>106</v>
      </c>
      <c r="C35" s="386"/>
      <c r="D35" s="386"/>
      <c r="E35" s="35">
        <v>11660.88</v>
      </c>
      <c r="F35" s="35">
        <v>4858.7</v>
      </c>
      <c r="H35" s="35">
        <v>5830.44</v>
      </c>
      <c r="J35" s="35">
        <v>10689.14</v>
      </c>
    </row>
    <row r="36" spans="1:10" ht="15.95" hidden="1" customHeight="1" x14ac:dyDescent="0.2">
      <c r="A36" s="38">
        <v>11202</v>
      </c>
      <c r="B36" s="385" t="s">
        <v>115</v>
      </c>
      <c r="C36" s="386"/>
      <c r="D36" s="386"/>
      <c r="E36" s="35">
        <v>-401782.38</v>
      </c>
      <c r="F36" s="35">
        <v>178092.19</v>
      </c>
      <c r="H36" s="35">
        <v>114901.16</v>
      </c>
      <c r="J36" s="35">
        <v>-338591.35</v>
      </c>
    </row>
    <row r="37" spans="1:10" ht="15.95" hidden="1" customHeight="1" x14ac:dyDescent="0.2">
      <c r="A37" s="38">
        <v>1120201</v>
      </c>
      <c r="B37" s="385" t="s">
        <v>116</v>
      </c>
      <c r="C37" s="386"/>
      <c r="D37" s="386"/>
      <c r="E37" s="35">
        <v>-401782.38</v>
      </c>
      <c r="F37" s="35">
        <v>178092.19</v>
      </c>
      <c r="H37" s="35">
        <v>114901.16</v>
      </c>
      <c r="J37" s="35">
        <v>-338591.35</v>
      </c>
    </row>
    <row r="38" spans="1:10" ht="15.95" hidden="1" customHeight="1" x14ac:dyDescent="0.2">
      <c r="A38" s="38" t="s">
        <v>117</v>
      </c>
      <c r="B38" s="385" t="s">
        <v>118</v>
      </c>
      <c r="C38" s="386"/>
      <c r="D38" s="386"/>
      <c r="E38" s="35">
        <v>-401782.38</v>
      </c>
      <c r="F38" s="35">
        <v>178092.19</v>
      </c>
      <c r="H38" s="35">
        <v>114901.16</v>
      </c>
      <c r="J38" s="35">
        <v>-338591.35</v>
      </c>
    </row>
    <row r="39" spans="1:10" ht="15.95" hidden="1" customHeight="1" x14ac:dyDescent="0.2">
      <c r="A39" s="38">
        <v>11204</v>
      </c>
      <c r="B39" s="385" t="s">
        <v>119</v>
      </c>
      <c r="C39" s="386"/>
      <c r="D39" s="386"/>
      <c r="E39" s="35">
        <v>83534.080000000002</v>
      </c>
      <c r="F39" s="35">
        <v>262477.05</v>
      </c>
      <c r="H39" s="35">
        <v>292779.23</v>
      </c>
      <c r="J39" s="35">
        <v>53231.9</v>
      </c>
    </row>
    <row r="40" spans="1:10" ht="15.95" hidden="1" customHeight="1" x14ac:dyDescent="0.2">
      <c r="A40" s="38">
        <v>1120401</v>
      </c>
      <c r="B40" s="385" t="s">
        <v>120</v>
      </c>
      <c r="C40" s="386"/>
      <c r="D40" s="386"/>
      <c r="E40" s="35">
        <v>39344.06</v>
      </c>
      <c r="F40" s="35">
        <v>125287.61</v>
      </c>
      <c r="H40" s="35">
        <v>151823.67000000001</v>
      </c>
      <c r="J40" s="35">
        <v>12808</v>
      </c>
    </row>
    <row r="41" spans="1:10" ht="15.95" hidden="1" customHeight="1" x14ac:dyDescent="0.2">
      <c r="A41" s="38" t="s">
        <v>121</v>
      </c>
      <c r="B41" s="385" t="s">
        <v>122</v>
      </c>
      <c r="C41" s="386"/>
      <c r="D41" s="386"/>
      <c r="E41" s="35">
        <v>39344.06</v>
      </c>
      <c r="F41" s="35">
        <v>125287.61</v>
      </c>
      <c r="H41" s="35">
        <v>151823.67000000001</v>
      </c>
      <c r="J41" s="35">
        <v>12808</v>
      </c>
    </row>
    <row r="42" spans="1:10" ht="15.95" hidden="1" customHeight="1" x14ac:dyDescent="0.2">
      <c r="A42" s="38">
        <v>1120407</v>
      </c>
      <c r="B42" s="385" t="s">
        <v>123</v>
      </c>
      <c r="C42" s="386"/>
      <c r="D42" s="386"/>
      <c r="E42" s="35">
        <v>44190.02</v>
      </c>
      <c r="F42" s="35">
        <v>137189.44</v>
      </c>
      <c r="H42" s="35">
        <v>140955.56</v>
      </c>
      <c r="J42" s="35">
        <v>40423.9</v>
      </c>
    </row>
    <row r="43" spans="1:10" ht="15.95" hidden="1" customHeight="1" x14ac:dyDescent="0.2">
      <c r="A43" s="38" t="s">
        <v>124</v>
      </c>
      <c r="B43" s="385" t="s">
        <v>125</v>
      </c>
      <c r="C43" s="386"/>
      <c r="D43" s="386"/>
      <c r="E43" s="35">
        <v>44190.02</v>
      </c>
      <c r="F43" s="35">
        <v>137189.44</v>
      </c>
      <c r="H43" s="35">
        <v>140955.56</v>
      </c>
      <c r="J43" s="35">
        <v>40423.9</v>
      </c>
    </row>
    <row r="44" spans="1:10" ht="15.95" hidden="1" customHeight="1" x14ac:dyDescent="0.2">
      <c r="A44" s="38">
        <v>11205</v>
      </c>
      <c r="B44" s="385" t="s">
        <v>126</v>
      </c>
      <c r="C44" s="386"/>
      <c r="D44" s="386"/>
      <c r="E44" s="35">
        <v>682367.68</v>
      </c>
      <c r="F44" s="35">
        <v>1665200.7</v>
      </c>
      <c r="H44" s="35">
        <v>1359650.97</v>
      </c>
      <c r="J44" s="35">
        <v>987917.41</v>
      </c>
    </row>
    <row r="45" spans="1:10" ht="15.95" hidden="1" customHeight="1" x14ac:dyDescent="0.2">
      <c r="A45" s="38">
        <v>1120501</v>
      </c>
      <c r="B45" s="385" t="s">
        <v>127</v>
      </c>
      <c r="C45" s="386"/>
      <c r="D45" s="386"/>
      <c r="E45" s="35">
        <v>0</v>
      </c>
      <c r="F45" s="35">
        <v>315740.49</v>
      </c>
      <c r="H45" s="35">
        <v>0</v>
      </c>
      <c r="J45" s="35">
        <v>315740.49</v>
      </c>
    </row>
    <row r="46" spans="1:10" ht="15.95" hidden="1" customHeight="1" x14ac:dyDescent="0.2">
      <c r="A46" s="38" t="s">
        <v>128</v>
      </c>
      <c r="B46" s="385" t="s">
        <v>129</v>
      </c>
      <c r="C46" s="386"/>
      <c r="D46" s="386"/>
      <c r="E46" s="35">
        <v>0</v>
      </c>
      <c r="F46" s="35">
        <v>290719.68</v>
      </c>
      <c r="H46" s="35">
        <v>0</v>
      </c>
      <c r="J46" s="35">
        <v>290719.68</v>
      </c>
    </row>
    <row r="47" spans="1:10" ht="15.95" hidden="1" customHeight="1" x14ac:dyDescent="0.2">
      <c r="A47" s="38" t="s">
        <v>130</v>
      </c>
      <c r="B47" s="385" t="s">
        <v>131</v>
      </c>
      <c r="C47" s="386"/>
      <c r="D47" s="386"/>
      <c r="E47" s="35">
        <v>0</v>
      </c>
      <c r="F47" s="35">
        <v>25020.81</v>
      </c>
      <c r="H47" s="35">
        <v>0</v>
      </c>
      <c r="J47" s="35">
        <v>25020.81</v>
      </c>
    </row>
    <row r="48" spans="1:10" ht="15.95" hidden="1" customHeight="1" x14ac:dyDescent="0.2">
      <c r="A48" s="38">
        <v>1120502</v>
      </c>
      <c r="B48" s="385" t="s">
        <v>132</v>
      </c>
      <c r="C48" s="386"/>
      <c r="D48" s="386"/>
      <c r="E48" s="35">
        <v>640927.68000000005</v>
      </c>
      <c r="F48" s="35">
        <v>1349460.21</v>
      </c>
      <c r="H48" s="35">
        <v>1359650.97</v>
      </c>
      <c r="J48" s="35">
        <v>630736.92000000004</v>
      </c>
    </row>
    <row r="49" spans="1:10" ht="15.95" hidden="1" customHeight="1" x14ac:dyDescent="0.2">
      <c r="A49" s="38" t="s">
        <v>133</v>
      </c>
      <c r="B49" s="385" t="s">
        <v>134</v>
      </c>
      <c r="C49" s="386"/>
      <c r="D49" s="386"/>
      <c r="E49" s="35">
        <v>1218.1400000000001</v>
      </c>
      <c r="F49" s="35">
        <v>444539.43</v>
      </c>
      <c r="H49" s="35">
        <v>444539.43</v>
      </c>
      <c r="J49" s="35">
        <v>1218.1400000000001</v>
      </c>
    </row>
    <row r="50" spans="1:10" ht="15.95" hidden="1" customHeight="1" x14ac:dyDescent="0.2">
      <c r="A50" s="38" t="s">
        <v>135</v>
      </c>
      <c r="B50" s="385" t="s">
        <v>136</v>
      </c>
      <c r="C50" s="386"/>
      <c r="D50" s="386"/>
      <c r="E50" s="35">
        <v>129838.19</v>
      </c>
      <c r="F50" s="35">
        <v>272421.09000000003</v>
      </c>
      <c r="H50" s="35">
        <v>212568</v>
      </c>
      <c r="J50" s="35">
        <v>189691.28</v>
      </c>
    </row>
    <row r="51" spans="1:10" ht="15.95" hidden="1" customHeight="1" x14ac:dyDescent="0.2">
      <c r="A51" s="38" t="s">
        <v>137</v>
      </c>
      <c r="B51" s="385" t="s">
        <v>138</v>
      </c>
      <c r="C51" s="386"/>
      <c r="D51" s="386"/>
      <c r="E51" s="35">
        <v>509876.27</v>
      </c>
      <c r="F51" s="35">
        <v>175503.29</v>
      </c>
      <c r="H51" s="35">
        <v>657122.28</v>
      </c>
      <c r="J51" s="35">
        <v>28257.279999999999</v>
      </c>
    </row>
    <row r="52" spans="1:10" ht="15.95" hidden="1" customHeight="1" x14ac:dyDescent="0.2">
      <c r="A52" s="38" t="s">
        <v>139</v>
      </c>
      <c r="B52" s="385" t="s">
        <v>140</v>
      </c>
      <c r="C52" s="386"/>
      <c r="D52" s="386"/>
      <c r="E52" s="35">
        <v>-4.92</v>
      </c>
      <c r="F52" s="35">
        <v>420665.38</v>
      </c>
      <c r="H52" s="35">
        <v>26976.28</v>
      </c>
      <c r="J52" s="35">
        <v>393684.18</v>
      </c>
    </row>
    <row r="53" spans="1:10" ht="15.95" hidden="1" customHeight="1" x14ac:dyDescent="0.2">
      <c r="A53" s="38" t="s">
        <v>141</v>
      </c>
      <c r="B53" s="385" t="s">
        <v>142</v>
      </c>
      <c r="C53" s="386"/>
      <c r="D53" s="386"/>
      <c r="E53" s="35">
        <v>0</v>
      </c>
      <c r="F53" s="35">
        <v>36331.019999999997</v>
      </c>
      <c r="H53" s="35">
        <v>18444.98</v>
      </c>
      <c r="J53" s="35">
        <v>17886.04</v>
      </c>
    </row>
    <row r="54" spans="1:10" ht="15.95" hidden="1" customHeight="1" x14ac:dyDescent="0.2">
      <c r="A54" s="38">
        <v>1120503</v>
      </c>
      <c r="B54" s="385" t="s">
        <v>143</v>
      </c>
      <c r="C54" s="386"/>
      <c r="D54" s="386"/>
      <c r="E54" s="35">
        <v>41440</v>
      </c>
      <c r="F54" s="35">
        <v>0</v>
      </c>
      <c r="H54" s="35">
        <v>0</v>
      </c>
      <c r="J54" s="35">
        <v>41440</v>
      </c>
    </row>
    <row r="55" spans="1:10" ht="15.95" hidden="1" customHeight="1" x14ac:dyDescent="0.2">
      <c r="A55" s="38" t="s">
        <v>144</v>
      </c>
      <c r="B55" s="385" t="s">
        <v>145</v>
      </c>
      <c r="C55" s="386"/>
      <c r="D55" s="386"/>
      <c r="E55" s="35">
        <v>41440</v>
      </c>
      <c r="F55" s="35">
        <v>0</v>
      </c>
      <c r="H55" s="35">
        <v>0</v>
      </c>
      <c r="J55" s="35">
        <v>41440</v>
      </c>
    </row>
    <row r="56" spans="1:10" ht="27.95" hidden="1" customHeight="1" x14ac:dyDescent="0.2">
      <c r="A56" s="38">
        <v>113</v>
      </c>
      <c r="B56" s="385" t="s">
        <v>146</v>
      </c>
      <c r="C56" s="386"/>
      <c r="D56" s="386"/>
      <c r="E56" s="35">
        <v>1256730.98</v>
      </c>
      <c r="F56" s="35">
        <v>813527.09</v>
      </c>
      <c r="H56" s="35">
        <v>306898.90000000002</v>
      </c>
      <c r="J56" s="35">
        <v>1763359.17</v>
      </c>
    </row>
    <row r="57" spans="1:10" ht="15.95" hidden="1" customHeight="1" x14ac:dyDescent="0.2">
      <c r="A57" s="38">
        <v>11301</v>
      </c>
      <c r="B57" s="385" t="s">
        <v>146</v>
      </c>
      <c r="C57" s="386"/>
      <c r="D57" s="386"/>
      <c r="E57" s="35">
        <v>1256730.98</v>
      </c>
      <c r="F57" s="35">
        <v>813527.09</v>
      </c>
      <c r="H57" s="35">
        <v>306898.90000000002</v>
      </c>
      <c r="J57" s="35">
        <v>1763359.17</v>
      </c>
    </row>
    <row r="58" spans="1:10" ht="15.95" hidden="1" customHeight="1" x14ac:dyDescent="0.2">
      <c r="A58" s="38">
        <v>1130101</v>
      </c>
      <c r="B58" s="385" t="s">
        <v>147</v>
      </c>
      <c r="C58" s="386"/>
      <c r="D58" s="386"/>
      <c r="E58" s="35">
        <v>0</v>
      </c>
      <c r="F58" s="35">
        <v>813527.09</v>
      </c>
      <c r="H58" s="35">
        <v>306898.90000000002</v>
      </c>
      <c r="J58" s="35">
        <v>506628.19</v>
      </c>
    </row>
    <row r="59" spans="1:10" ht="15.95" hidden="1" customHeight="1" x14ac:dyDescent="0.2">
      <c r="A59" s="38" t="s">
        <v>148</v>
      </c>
      <c r="B59" s="385" t="s">
        <v>149</v>
      </c>
      <c r="C59" s="386"/>
      <c r="D59" s="386"/>
      <c r="E59" s="35">
        <v>0</v>
      </c>
      <c r="F59" s="35">
        <v>403593.09</v>
      </c>
      <c r="H59" s="35">
        <v>0</v>
      </c>
      <c r="J59" s="35">
        <v>403593.09</v>
      </c>
    </row>
    <row r="60" spans="1:10" ht="15.95" hidden="1" customHeight="1" x14ac:dyDescent="0.2">
      <c r="A60" s="38" t="s">
        <v>150</v>
      </c>
      <c r="B60" s="385" t="s">
        <v>151</v>
      </c>
      <c r="C60" s="386"/>
      <c r="D60" s="386"/>
      <c r="E60" s="35">
        <v>0</v>
      </c>
      <c r="F60" s="35">
        <v>18953.169999999998</v>
      </c>
      <c r="H60" s="35">
        <v>0</v>
      </c>
      <c r="J60" s="35">
        <v>18953.169999999998</v>
      </c>
    </row>
    <row r="61" spans="1:10" ht="15.95" hidden="1" customHeight="1" x14ac:dyDescent="0.2">
      <c r="A61" s="38" t="s">
        <v>154</v>
      </c>
      <c r="B61" s="385" t="s">
        <v>155</v>
      </c>
      <c r="C61" s="386"/>
      <c r="D61" s="386"/>
      <c r="E61" s="35">
        <v>0</v>
      </c>
      <c r="F61" s="35">
        <v>84081.93</v>
      </c>
      <c r="H61" s="35">
        <v>0</v>
      </c>
      <c r="J61" s="35">
        <v>84081.93</v>
      </c>
    </row>
    <row r="62" spans="1:10" ht="15.95" hidden="1" customHeight="1" x14ac:dyDescent="0.2">
      <c r="A62" s="38" t="s">
        <v>156</v>
      </c>
      <c r="B62" s="385" t="s">
        <v>157</v>
      </c>
      <c r="C62" s="386"/>
      <c r="D62" s="386"/>
      <c r="E62" s="35">
        <v>0</v>
      </c>
      <c r="F62" s="35">
        <v>54653.21</v>
      </c>
      <c r="H62" s="35">
        <v>54653.21</v>
      </c>
      <c r="J62" s="35">
        <v>0</v>
      </c>
    </row>
    <row r="63" spans="1:10" ht="15.95" hidden="1" customHeight="1" x14ac:dyDescent="0.2">
      <c r="A63" s="38" t="s">
        <v>158</v>
      </c>
      <c r="B63" s="385" t="s">
        <v>159</v>
      </c>
      <c r="C63" s="386"/>
      <c r="D63" s="386"/>
      <c r="E63" s="35">
        <v>0</v>
      </c>
      <c r="F63" s="35">
        <v>252245.69</v>
      </c>
      <c r="H63" s="35">
        <v>252245.69</v>
      </c>
      <c r="J63" s="35">
        <v>0</v>
      </c>
    </row>
    <row r="64" spans="1:10" ht="15.95" hidden="1" customHeight="1" x14ac:dyDescent="0.2">
      <c r="A64" s="38">
        <v>1130102</v>
      </c>
      <c r="B64" s="385" t="s">
        <v>160</v>
      </c>
      <c r="C64" s="386"/>
      <c r="D64" s="386"/>
      <c r="E64" s="35">
        <v>1046598.36</v>
      </c>
      <c r="F64" s="35">
        <v>0</v>
      </c>
      <c r="H64" s="35">
        <v>0</v>
      </c>
      <c r="J64" s="35">
        <v>1046598.36</v>
      </c>
    </row>
    <row r="65" spans="1:10" ht="15.95" hidden="1" customHeight="1" x14ac:dyDescent="0.2">
      <c r="A65" s="38" t="s">
        <v>1442</v>
      </c>
      <c r="B65" s="385" t="s">
        <v>1443</v>
      </c>
      <c r="C65" s="386"/>
      <c r="D65" s="386"/>
      <c r="E65" s="35">
        <v>1046598.36</v>
      </c>
      <c r="F65" s="35">
        <v>0</v>
      </c>
      <c r="H65" s="35">
        <v>0</v>
      </c>
      <c r="J65" s="35">
        <v>1046598.36</v>
      </c>
    </row>
    <row r="66" spans="1:10" ht="15.95" hidden="1" customHeight="1" x14ac:dyDescent="0.2">
      <c r="A66" s="38">
        <v>1130103</v>
      </c>
      <c r="B66" s="385" t="s">
        <v>163</v>
      </c>
      <c r="C66" s="386"/>
      <c r="D66" s="386"/>
      <c r="E66" s="35">
        <v>210132.62</v>
      </c>
      <c r="F66" s="35">
        <v>0</v>
      </c>
      <c r="H66" s="35">
        <v>0</v>
      </c>
      <c r="J66" s="35">
        <v>210132.62</v>
      </c>
    </row>
    <row r="67" spans="1:10" ht="15.95" hidden="1" customHeight="1" x14ac:dyDescent="0.2">
      <c r="A67" s="38" t="s">
        <v>1444</v>
      </c>
      <c r="B67" s="385" t="s">
        <v>1445</v>
      </c>
      <c r="C67" s="386"/>
      <c r="D67" s="386"/>
      <c r="E67" s="35">
        <v>210132.62</v>
      </c>
      <c r="F67" s="35">
        <v>0</v>
      </c>
      <c r="H67" s="35">
        <v>0</v>
      </c>
      <c r="J67" s="35">
        <v>210132.62</v>
      </c>
    </row>
    <row r="68" spans="1:10" ht="15.95" hidden="1" customHeight="1" x14ac:dyDescent="0.2">
      <c r="A68" s="38">
        <v>114</v>
      </c>
      <c r="B68" s="385" t="s">
        <v>173</v>
      </c>
      <c r="C68" s="386"/>
      <c r="D68" s="386"/>
      <c r="E68" s="35">
        <v>103733.55</v>
      </c>
      <c r="F68" s="35">
        <v>53951.93</v>
      </c>
      <c r="H68" s="35">
        <v>88595.88</v>
      </c>
      <c r="J68" s="35">
        <v>69089.600000000006</v>
      </c>
    </row>
    <row r="69" spans="1:10" ht="15.95" hidden="1" customHeight="1" x14ac:dyDescent="0.2">
      <c r="A69" s="38">
        <v>11401</v>
      </c>
      <c r="B69" s="385" t="s">
        <v>174</v>
      </c>
      <c r="C69" s="386"/>
      <c r="D69" s="386"/>
      <c r="E69" s="35">
        <v>103733.55</v>
      </c>
      <c r="F69" s="35">
        <v>53951.93</v>
      </c>
      <c r="H69" s="35">
        <v>88595.88</v>
      </c>
      <c r="J69" s="35">
        <v>69089.600000000006</v>
      </c>
    </row>
    <row r="70" spans="1:10" ht="15.95" hidden="1" customHeight="1" x14ac:dyDescent="0.2">
      <c r="A70" s="38">
        <v>1140101</v>
      </c>
      <c r="B70" s="385" t="s">
        <v>175</v>
      </c>
      <c r="C70" s="386"/>
      <c r="D70" s="386"/>
      <c r="E70" s="35">
        <v>38142.800000000003</v>
      </c>
      <c r="F70" s="35">
        <v>4377.6000000000004</v>
      </c>
      <c r="H70" s="35">
        <v>33127.800000000003</v>
      </c>
      <c r="J70" s="35">
        <v>9392.6</v>
      </c>
    </row>
    <row r="71" spans="1:10" ht="15.95" hidden="1" customHeight="1" x14ac:dyDescent="0.2">
      <c r="A71" s="38" t="s">
        <v>176</v>
      </c>
      <c r="B71" s="385" t="s">
        <v>177</v>
      </c>
      <c r="C71" s="386"/>
      <c r="D71" s="386"/>
      <c r="E71" s="35">
        <v>31200</v>
      </c>
      <c r="F71" s="35">
        <v>0</v>
      </c>
      <c r="H71" s="35">
        <v>27600</v>
      </c>
      <c r="J71" s="35">
        <v>3600</v>
      </c>
    </row>
    <row r="72" spans="1:10" ht="15.95" hidden="1" customHeight="1" x14ac:dyDescent="0.2">
      <c r="A72" s="38" t="s">
        <v>1446</v>
      </c>
      <c r="B72" s="385" t="s">
        <v>1224</v>
      </c>
      <c r="C72" s="386"/>
      <c r="D72" s="386"/>
      <c r="E72" s="35">
        <v>267</v>
      </c>
      <c r="F72" s="35">
        <v>177.6</v>
      </c>
      <c r="H72" s="35">
        <v>322.2</v>
      </c>
      <c r="J72" s="35">
        <v>122.4</v>
      </c>
    </row>
    <row r="73" spans="1:10" ht="15.95" hidden="1" customHeight="1" x14ac:dyDescent="0.2">
      <c r="A73" s="38" t="s">
        <v>178</v>
      </c>
      <c r="B73" s="385" t="s">
        <v>179</v>
      </c>
      <c r="C73" s="386"/>
      <c r="D73" s="386"/>
      <c r="E73" s="35">
        <v>6675.8</v>
      </c>
      <c r="F73" s="35">
        <v>4200</v>
      </c>
      <c r="H73" s="35">
        <v>5205.6000000000004</v>
      </c>
      <c r="J73" s="35">
        <v>5670.2</v>
      </c>
    </row>
    <row r="74" spans="1:10" ht="15.95" hidden="1" customHeight="1" x14ac:dyDescent="0.2">
      <c r="A74" s="38">
        <v>1140102</v>
      </c>
      <c r="B74" s="385" t="s">
        <v>180</v>
      </c>
      <c r="C74" s="386"/>
      <c r="D74" s="386"/>
      <c r="E74" s="35">
        <v>65590.75</v>
      </c>
      <c r="F74" s="35">
        <v>49574.33</v>
      </c>
      <c r="H74" s="35">
        <v>55468.08</v>
      </c>
      <c r="J74" s="35">
        <v>59697</v>
      </c>
    </row>
    <row r="75" spans="1:10" ht="15.95" hidden="1" customHeight="1" x14ac:dyDescent="0.2">
      <c r="A75" s="38" t="s">
        <v>181</v>
      </c>
      <c r="B75" s="385" t="s">
        <v>182</v>
      </c>
      <c r="C75" s="386"/>
      <c r="D75" s="386"/>
      <c r="E75" s="35">
        <v>43335.66</v>
      </c>
      <c r="F75" s="35">
        <v>21045.88</v>
      </c>
      <c r="H75" s="35">
        <v>25692.57</v>
      </c>
      <c r="J75" s="35">
        <v>38688.97</v>
      </c>
    </row>
    <row r="76" spans="1:10" ht="15.95" hidden="1" customHeight="1" x14ac:dyDescent="0.2">
      <c r="A76" s="38" t="s">
        <v>183</v>
      </c>
      <c r="B76" s="385" t="s">
        <v>184</v>
      </c>
      <c r="C76" s="386"/>
      <c r="D76" s="386"/>
      <c r="E76" s="35">
        <v>0</v>
      </c>
      <c r="F76" s="35">
        <v>5959.58</v>
      </c>
      <c r="H76" s="35">
        <v>5959.58</v>
      </c>
      <c r="J76" s="35">
        <v>0</v>
      </c>
    </row>
    <row r="77" spans="1:10" ht="15.95" hidden="1" customHeight="1" x14ac:dyDescent="0.2">
      <c r="A77" s="38" t="s">
        <v>185</v>
      </c>
      <c r="B77" s="385" t="s">
        <v>186</v>
      </c>
      <c r="C77" s="386"/>
      <c r="D77" s="386"/>
      <c r="E77" s="35">
        <v>238.5</v>
      </c>
      <c r="F77" s="35">
        <v>1410</v>
      </c>
      <c r="H77" s="35">
        <v>1496.5</v>
      </c>
      <c r="J77" s="35">
        <v>152</v>
      </c>
    </row>
    <row r="78" spans="1:10" ht="15.95" hidden="1" customHeight="1" x14ac:dyDescent="0.2">
      <c r="A78" s="38" t="s">
        <v>187</v>
      </c>
      <c r="B78" s="385" t="s">
        <v>188</v>
      </c>
      <c r="C78" s="386"/>
      <c r="D78" s="386"/>
      <c r="E78" s="35">
        <v>280</v>
      </c>
      <c r="F78" s="35">
        <v>1704</v>
      </c>
      <c r="H78" s="35">
        <v>1837.44</v>
      </c>
      <c r="J78" s="35">
        <v>146.56</v>
      </c>
    </row>
    <row r="79" spans="1:10" ht="15.95" hidden="1" customHeight="1" x14ac:dyDescent="0.2">
      <c r="A79" s="38" t="s">
        <v>189</v>
      </c>
      <c r="B79" s="385" t="s">
        <v>190</v>
      </c>
      <c r="C79" s="386"/>
      <c r="D79" s="386"/>
      <c r="E79" s="35">
        <v>7530.65</v>
      </c>
      <c r="F79" s="35">
        <v>10159.870000000001</v>
      </c>
      <c r="H79" s="35">
        <v>10496.62</v>
      </c>
      <c r="J79" s="35">
        <v>7193.9</v>
      </c>
    </row>
    <row r="80" spans="1:10" ht="15.95" hidden="1" customHeight="1" x14ac:dyDescent="0.2">
      <c r="A80" s="38" t="s">
        <v>191</v>
      </c>
      <c r="B80" s="385" t="s">
        <v>192</v>
      </c>
      <c r="C80" s="386"/>
      <c r="D80" s="386"/>
      <c r="E80" s="35">
        <v>832.01</v>
      </c>
      <c r="F80" s="35">
        <v>55</v>
      </c>
      <c r="H80" s="35">
        <v>81.53</v>
      </c>
      <c r="J80" s="35">
        <v>805.48</v>
      </c>
    </row>
    <row r="81" spans="1:10" ht="15.95" hidden="1" customHeight="1" x14ac:dyDescent="0.2">
      <c r="A81" s="38" t="s">
        <v>193</v>
      </c>
      <c r="B81" s="385" t="s">
        <v>194</v>
      </c>
      <c r="C81" s="386"/>
      <c r="D81" s="386"/>
      <c r="E81" s="35">
        <v>9259.65</v>
      </c>
      <c r="F81" s="35">
        <v>9240</v>
      </c>
      <c r="H81" s="35">
        <v>9903.84</v>
      </c>
      <c r="J81" s="35">
        <v>8595.81</v>
      </c>
    </row>
    <row r="82" spans="1:10" ht="15.95" hidden="1" customHeight="1" x14ac:dyDescent="0.2">
      <c r="A82" s="38" t="s">
        <v>195</v>
      </c>
      <c r="B82" s="385" t="s">
        <v>196</v>
      </c>
      <c r="C82" s="386"/>
      <c r="D82" s="386"/>
      <c r="E82" s="35">
        <v>4114.28</v>
      </c>
      <c r="F82" s="35">
        <v>0</v>
      </c>
      <c r="H82" s="35">
        <v>0</v>
      </c>
      <c r="J82" s="35">
        <v>4114.28</v>
      </c>
    </row>
    <row r="83" spans="1:10" ht="15.95" hidden="1" customHeight="1" x14ac:dyDescent="0.2">
      <c r="A83" s="38">
        <v>117</v>
      </c>
      <c r="B83" s="385" t="s">
        <v>197</v>
      </c>
      <c r="C83" s="386"/>
      <c r="D83" s="386"/>
      <c r="E83" s="35">
        <v>222491.96</v>
      </c>
      <c r="F83" s="35">
        <v>28502.83</v>
      </c>
      <c r="H83" s="35">
        <v>161627.64000000001</v>
      </c>
      <c r="J83" s="35">
        <v>89367.15</v>
      </c>
    </row>
    <row r="84" spans="1:10" ht="15.95" hidden="1" customHeight="1" x14ac:dyDescent="0.2">
      <c r="A84" s="38">
        <v>11701</v>
      </c>
      <c r="B84" s="385" t="s">
        <v>197</v>
      </c>
      <c r="C84" s="386"/>
      <c r="D84" s="386"/>
      <c r="E84" s="35">
        <v>222491.96</v>
      </c>
      <c r="F84" s="35">
        <v>28502.83</v>
      </c>
      <c r="H84" s="35">
        <v>161627.64000000001</v>
      </c>
      <c r="J84" s="35">
        <v>89367.15</v>
      </c>
    </row>
    <row r="85" spans="1:10" ht="15.95" hidden="1" customHeight="1" x14ac:dyDescent="0.2">
      <c r="A85" s="38">
        <v>1170101</v>
      </c>
      <c r="B85" s="385" t="s">
        <v>198</v>
      </c>
      <c r="C85" s="386"/>
      <c r="D85" s="386"/>
      <c r="E85" s="35">
        <v>206087.82</v>
      </c>
      <c r="F85" s="35">
        <v>16011.87</v>
      </c>
      <c r="H85" s="35">
        <v>142994.14000000001</v>
      </c>
      <c r="J85" s="35">
        <v>79105.55</v>
      </c>
    </row>
    <row r="86" spans="1:10" ht="15.95" hidden="1" customHeight="1" x14ac:dyDescent="0.2">
      <c r="A86" s="38" t="s">
        <v>199</v>
      </c>
      <c r="B86" s="385" t="s">
        <v>200</v>
      </c>
      <c r="C86" s="386"/>
      <c r="D86" s="386"/>
      <c r="E86" s="35">
        <v>161070</v>
      </c>
      <c r="F86" s="35">
        <v>0</v>
      </c>
      <c r="H86" s="35">
        <v>96642</v>
      </c>
      <c r="J86" s="35">
        <v>64428</v>
      </c>
    </row>
    <row r="87" spans="1:10" ht="15.95" hidden="1" customHeight="1" x14ac:dyDescent="0.2">
      <c r="A87" s="38" t="s">
        <v>201</v>
      </c>
      <c r="B87" s="385" t="s">
        <v>202</v>
      </c>
      <c r="C87" s="386"/>
      <c r="D87" s="386"/>
      <c r="E87" s="35">
        <v>45017.82</v>
      </c>
      <c r="F87" s="35">
        <v>16011.87</v>
      </c>
      <c r="H87" s="35">
        <v>46352.14</v>
      </c>
      <c r="J87" s="35">
        <v>14677.55</v>
      </c>
    </row>
    <row r="88" spans="1:10" ht="15.95" hidden="1" customHeight="1" x14ac:dyDescent="0.2">
      <c r="A88" s="38">
        <v>1170102</v>
      </c>
      <c r="B88" s="385" t="s">
        <v>203</v>
      </c>
      <c r="C88" s="386"/>
      <c r="D88" s="386"/>
      <c r="E88" s="35">
        <v>16404.14</v>
      </c>
      <c r="F88" s="35">
        <v>440</v>
      </c>
      <c r="H88" s="35">
        <v>12608</v>
      </c>
      <c r="J88" s="35">
        <v>4236.1400000000003</v>
      </c>
    </row>
    <row r="89" spans="1:10" ht="15.95" hidden="1" customHeight="1" x14ac:dyDescent="0.2">
      <c r="A89" s="38" t="s">
        <v>1447</v>
      </c>
      <c r="B89" s="385" t="s">
        <v>1448</v>
      </c>
      <c r="C89" s="386"/>
      <c r="D89" s="386"/>
      <c r="E89" s="35">
        <v>339.5</v>
      </c>
      <c r="F89" s="35">
        <v>440</v>
      </c>
      <c r="H89" s="35">
        <v>559.52</v>
      </c>
      <c r="J89" s="35">
        <v>219.98</v>
      </c>
    </row>
    <row r="90" spans="1:10" ht="15.95" hidden="1" customHeight="1" x14ac:dyDescent="0.2">
      <c r="A90" s="38" t="s">
        <v>204</v>
      </c>
      <c r="B90" s="385" t="s">
        <v>205</v>
      </c>
      <c r="C90" s="386"/>
      <c r="D90" s="386"/>
      <c r="E90" s="35">
        <v>16064.64</v>
      </c>
      <c r="F90" s="35">
        <v>0</v>
      </c>
      <c r="H90" s="35">
        <v>12048.48</v>
      </c>
      <c r="J90" s="35">
        <v>4016.16</v>
      </c>
    </row>
    <row r="91" spans="1:10" ht="15.95" hidden="1" customHeight="1" x14ac:dyDescent="0.2">
      <c r="A91" s="38">
        <v>1170103</v>
      </c>
      <c r="B91" s="385" t="s">
        <v>206</v>
      </c>
      <c r="C91" s="386"/>
      <c r="D91" s="386"/>
      <c r="E91" s="35">
        <v>0</v>
      </c>
      <c r="F91" s="35">
        <v>12050.96</v>
      </c>
      <c r="H91" s="35">
        <v>6025.5</v>
      </c>
      <c r="J91" s="35">
        <v>6025.46</v>
      </c>
    </row>
    <row r="92" spans="1:10" ht="15.95" hidden="1" customHeight="1" x14ac:dyDescent="0.2">
      <c r="A92" s="38" t="s">
        <v>207</v>
      </c>
      <c r="B92" s="385" t="s">
        <v>208</v>
      </c>
      <c r="C92" s="386"/>
      <c r="D92" s="386"/>
      <c r="E92" s="35">
        <v>0</v>
      </c>
      <c r="F92" s="35">
        <v>12050.96</v>
      </c>
      <c r="H92" s="35">
        <v>6025.5</v>
      </c>
      <c r="J92" s="35">
        <v>6025.46</v>
      </c>
    </row>
    <row r="93" spans="1:10" ht="15.95" hidden="1" customHeight="1" x14ac:dyDescent="0.2">
      <c r="A93" s="38">
        <v>12</v>
      </c>
      <c r="B93" s="385" t="s">
        <v>209</v>
      </c>
      <c r="C93" s="386"/>
      <c r="D93" s="386"/>
      <c r="E93" s="35">
        <v>325188005.11000001</v>
      </c>
      <c r="F93" s="35">
        <v>36277354.539999999</v>
      </c>
      <c r="H93" s="35">
        <v>50402661.119999997</v>
      </c>
      <c r="J93" s="35">
        <v>311062698.52999997</v>
      </c>
    </row>
    <row r="94" spans="1:10" ht="15.95" hidden="1" customHeight="1" x14ac:dyDescent="0.2">
      <c r="A94" s="38">
        <v>121</v>
      </c>
      <c r="B94" s="385" t="s">
        <v>210</v>
      </c>
      <c r="C94" s="386"/>
      <c r="D94" s="386"/>
      <c r="E94" s="35">
        <v>817373.97</v>
      </c>
      <c r="F94" s="35">
        <v>108504.25</v>
      </c>
      <c r="H94" s="35">
        <v>255376.8</v>
      </c>
      <c r="J94" s="35">
        <v>670501.42000000004</v>
      </c>
    </row>
    <row r="95" spans="1:10" ht="15.95" hidden="1" customHeight="1" x14ac:dyDescent="0.2">
      <c r="A95" s="38">
        <v>12101</v>
      </c>
      <c r="B95" s="385" t="s">
        <v>211</v>
      </c>
      <c r="C95" s="386"/>
      <c r="D95" s="386"/>
      <c r="E95" s="35">
        <v>739127.8</v>
      </c>
      <c r="F95" s="35">
        <v>108504.25</v>
      </c>
      <c r="H95" s="35">
        <v>250518.1</v>
      </c>
      <c r="J95" s="35">
        <v>597113.94999999995</v>
      </c>
    </row>
    <row r="96" spans="1:10" ht="15.95" hidden="1" customHeight="1" x14ac:dyDescent="0.2">
      <c r="A96" s="38">
        <v>1210101</v>
      </c>
      <c r="B96" s="385" t="s">
        <v>212</v>
      </c>
      <c r="C96" s="386"/>
      <c r="D96" s="386"/>
      <c r="E96" s="35">
        <v>337890.82</v>
      </c>
      <c r="F96" s="35">
        <v>46450.29</v>
      </c>
      <c r="H96" s="35">
        <v>84235.99</v>
      </c>
      <c r="J96" s="35">
        <v>300105.12</v>
      </c>
    </row>
    <row r="97" spans="1:10" ht="15.95" hidden="1" customHeight="1" x14ac:dyDescent="0.2">
      <c r="A97" s="38" t="s">
        <v>213</v>
      </c>
      <c r="B97" s="385" t="s">
        <v>214</v>
      </c>
      <c r="C97" s="386"/>
      <c r="D97" s="386"/>
      <c r="E97" s="35">
        <v>16601.04</v>
      </c>
      <c r="F97" s="35">
        <v>0</v>
      </c>
      <c r="H97" s="35">
        <v>0</v>
      </c>
      <c r="J97" s="35">
        <v>16601.04</v>
      </c>
    </row>
    <row r="98" spans="1:10" ht="15.95" hidden="1" customHeight="1" x14ac:dyDescent="0.2">
      <c r="A98" s="38" t="s">
        <v>1449</v>
      </c>
      <c r="B98" s="385" t="s">
        <v>1450</v>
      </c>
      <c r="C98" s="386"/>
      <c r="D98" s="386"/>
      <c r="E98" s="35">
        <v>5889.5</v>
      </c>
      <c r="F98" s="35">
        <v>0</v>
      </c>
      <c r="H98" s="35">
        <v>5889.5</v>
      </c>
      <c r="J98" s="35">
        <v>0</v>
      </c>
    </row>
    <row r="99" spans="1:10" ht="15.95" hidden="1" customHeight="1" x14ac:dyDescent="0.2">
      <c r="A99" s="38" t="s">
        <v>1451</v>
      </c>
      <c r="B99" s="385" t="s">
        <v>1452</v>
      </c>
      <c r="C99" s="386"/>
      <c r="D99" s="386"/>
      <c r="E99" s="35">
        <v>6290</v>
      </c>
      <c r="F99" s="35">
        <v>0</v>
      </c>
      <c r="H99" s="35">
        <v>6290</v>
      </c>
      <c r="J99" s="35">
        <v>0</v>
      </c>
    </row>
    <row r="100" spans="1:10" ht="15.95" hidden="1" customHeight="1" x14ac:dyDescent="0.2">
      <c r="A100" s="38" t="s">
        <v>1453</v>
      </c>
      <c r="B100" s="385" t="s">
        <v>1454</v>
      </c>
      <c r="C100" s="386"/>
      <c r="D100" s="386"/>
      <c r="E100" s="35">
        <v>6598.21</v>
      </c>
      <c r="F100" s="35">
        <v>0</v>
      </c>
      <c r="H100" s="35">
        <v>6598.21</v>
      </c>
      <c r="J100" s="35">
        <v>0</v>
      </c>
    </row>
    <row r="101" spans="1:10" ht="15.95" hidden="1" customHeight="1" x14ac:dyDescent="0.2">
      <c r="A101" s="38" t="s">
        <v>1455</v>
      </c>
      <c r="B101" s="385" t="s">
        <v>1456</v>
      </c>
      <c r="C101" s="386"/>
      <c r="D101" s="386"/>
      <c r="E101" s="35">
        <v>6598.21</v>
      </c>
      <c r="F101" s="35">
        <v>0</v>
      </c>
      <c r="H101" s="35">
        <v>0</v>
      </c>
      <c r="J101" s="35">
        <v>6598.21</v>
      </c>
    </row>
    <row r="102" spans="1:10" ht="15.95" hidden="1" customHeight="1" x14ac:dyDescent="0.2">
      <c r="A102" s="38" t="s">
        <v>215</v>
      </c>
      <c r="B102" s="385" t="s">
        <v>216</v>
      </c>
      <c r="C102" s="386"/>
      <c r="D102" s="386"/>
      <c r="E102" s="35">
        <v>8183.06</v>
      </c>
      <c r="F102" s="35">
        <v>0</v>
      </c>
      <c r="H102" s="35">
        <v>0</v>
      </c>
      <c r="J102" s="35">
        <v>8183.06</v>
      </c>
    </row>
    <row r="103" spans="1:10" ht="15.95" hidden="1" customHeight="1" x14ac:dyDescent="0.2">
      <c r="A103" s="38" t="s">
        <v>217</v>
      </c>
      <c r="B103" s="385" t="s">
        <v>218</v>
      </c>
      <c r="C103" s="386"/>
      <c r="D103" s="386"/>
      <c r="E103" s="35">
        <v>27985.95</v>
      </c>
      <c r="F103" s="35">
        <v>9513.16</v>
      </c>
      <c r="H103" s="35">
        <v>0</v>
      </c>
      <c r="J103" s="35">
        <v>37499.11</v>
      </c>
    </row>
    <row r="104" spans="1:10" ht="15.95" hidden="1" customHeight="1" x14ac:dyDescent="0.2">
      <c r="A104" s="38" t="s">
        <v>1457</v>
      </c>
      <c r="B104" s="385" t="s">
        <v>1458</v>
      </c>
      <c r="C104" s="386"/>
      <c r="D104" s="386"/>
      <c r="E104" s="35">
        <v>8959.6299999999992</v>
      </c>
      <c r="F104" s="35">
        <v>0</v>
      </c>
      <c r="H104" s="35">
        <v>0</v>
      </c>
      <c r="J104" s="35">
        <v>8959.6299999999992</v>
      </c>
    </row>
    <row r="105" spans="1:10" ht="15.95" hidden="1" customHeight="1" x14ac:dyDescent="0.2">
      <c r="A105" s="38" t="s">
        <v>1459</v>
      </c>
      <c r="B105" s="385" t="s">
        <v>1460</v>
      </c>
      <c r="C105" s="386"/>
      <c r="D105" s="386"/>
      <c r="E105" s="35">
        <v>9189</v>
      </c>
      <c r="F105" s="35">
        <v>0</v>
      </c>
      <c r="H105" s="35">
        <v>9189</v>
      </c>
      <c r="J105" s="35">
        <v>0</v>
      </c>
    </row>
    <row r="106" spans="1:10" ht="15.95" hidden="1" customHeight="1" x14ac:dyDescent="0.2">
      <c r="A106" s="38" t="s">
        <v>219</v>
      </c>
      <c r="B106" s="385" t="s">
        <v>220</v>
      </c>
      <c r="C106" s="386"/>
      <c r="D106" s="386"/>
      <c r="E106" s="35">
        <v>9189</v>
      </c>
      <c r="F106" s="35">
        <v>21152.45</v>
      </c>
      <c r="H106" s="35">
        <v>0</v>
      </c>
      <c r="J106" s="35">
        <v>30341.45</v>
      </c>
    </row>
    <row r="107" spans="1:10" ht="15.95" hidden="1" customHeight="1" x14ac:dyDescent="0.2">
      <c r="A107" s="38" t="s">
        <v>221</v>
      </c>
      <c r="B107" s="385" t="s">
        <v>222</v>
      </c>
      <c r="C107" s="386"/>
      <c r="D107" s="386"/>
      <c r="E107" s="35">
        <v>28215.32</v>
      </c>
      <c r="F107" s="35">
        <v>5784.68</v>
      </c>
      <c r="H107" s="35">
        <v>0</v>
      </c>
      <c r="J107" s="35">
        <v>34000</v>
      </c>
    </row>
    <row r="108" spans="1:10" ht="15.95" hidden="1" customHeight="1" x14ac:dyDescent="0.2">
      <c r="A108" s="38" t="s">
        <v>223</v>
      </c>
      <c r="B108" s="385" t="s">
        <v>224</v>
      </c>
      <c r="C108" s="386"/>
      <c r="D108" s="386"/>
      <c r="E108" s="35">
        <v>30000</v>
      </c>
      <c r="F108" s="35">
        <v>0</v>
      </c>
      <c r="H108" s="35">
        <v>0</v>
      </c>
      <c r="J108" s="35">
        <v>30000</v>
      </c>
    </row>
    <row r="109" spans="1:10" ht="15.95" hidden="1" customHeight="1" x14ac:dyDescent="0.2">
      <c r="A109" s="38" t="s">
        <v>225</v>
      </c>
      <c r="B109" s="385" t="s">
        <v>226</v>
      </c>
      <c r="C109" s="386"/>
      <c r="D109" s="386"/>
      <c r="E109" s="35">
        <v>9189</v>
      </c>
      <c r="F109" s="35">
        <v>0</v>
      </c>
      <c r="H109" s="35">
        <v>0</v>
      </c>
      <c r="J109" s="35">
        <v>9189</v>
      </c>
    </row>
    <row r="110" spans="1:10" ht="27.95" hidden="1" customHeight="1" x14ac:dyDescent="0.2">
      <c r="A110" s="38" t="s">
        <v>227</v>
      </c>
      <c r="B110" s="385" t="s">
        <v>228</v>
      </c>
      <c r="C110" s="386"/>
      <c r="D110" s="386"/>
      <c r="E110" s="35">
        <v>9189</v>
      </c>
      <c r="F110" s="35">
        <v>0</v>
      </c>
      <c r="H110" s="35">
        <v>0</v>
      </c>
      <c r="J110" s="35">
        <v>9189</v>
      </c>
    </row>
    <row r="111" spans="1:10" ht="15.95" hidden="1" customHeight="1" x14ac:dyDescent="0.2">
      <c r="A111" s="38" t="s">
        <v>229</v>
      </c>
      <c r="B111" s="385" t="s">
        <v>230</v>
      </c>
      <c r="C111" s="386"/>
      <c r="D111" s="386"/>
      <c r="E111" s="35">
        <v>28215.32</v>
      </c>
      <c r="F111" s="35">
        <v>9513.16</v>
      </c>
      <c r="H111" s="35">
        <v>0</v>
      </c>
      <c r="J111" s="35">
        <v>37728.480000000003</v>
      </c>
    </row>
    <row r="112" spans="1:10" ht="15.95" hidden="1" customHeight="1" x14ac:dyDescent="0.2">
      <c r="A112" s="38" t="s">
        <v>231</v>
      </c>
      <c r="B112" s="385" t="s">
        <v>232</v>
      </c>
      <c r="C112" s="386"/>
      <c r="D112" s="386"/>
      <c r="E112" s="35">
        <v>6000</v>
      </c>
      <c r="F112" s="35">
        <v>0</v>
      </c>
      <c r="H112" s="35">
        <v>0</v>
      </c>
      <c r="J112" s="35">
        <v>6000</v>
      </c>
    </row>
    <row r="113" spans="1:10" ht="15.95" hidden="1" customHeight="1" x14ac:dyDescent="0.2">
      <c r="A113" s="38" t="s">
        <v>233</v>
      </c>
      <c r="B113" s="385" t="s">
        <v>234</v>
      </c>
      <c r="C113" s="386"/>
      <c r="D113" s="386"/>
      <c r="E113" s="35">
        <v>16175.6</v>
      </c>
      <c r="F113" s="35">
        <v>0</v>
      </c>
      <c r="H113" s="35">
        <v>0</v>
      </c>
      <c r="J113" s="35">
        <v>16175.6</v>
      </c>
    </row>
    <row r="114" spans="1:10" ht="15.95" hidden="1" customHeight="1" x14ac:dyDescent="0.2">
      <c r="A114" s="38" t="s">
        <v>235</v>
      </c>
      <c r="B114" s="385" t="s">
        <v>236</v>
      </c>
      <c r="C114" s="386"/>
      <c r="D114" s="386"/>
      <c r="E114" s="35">
        <v>9189</v>
      </c>
      <c r="F114" s="35">
        <v>0</v>
      </c>
      <c r="H114" s="35">
        <v>0</v>
      </c>
      <c r="J114" s="35">
        <v>9189</v>
      </c>
    </row>
    <row r="115" spans="1:10" ht="15.95" hidden="1" customHeight="1" x14ac:dyDescent="0.2">
      <c r="A115" s="38" t="s">
        <v>237</v>
      </c>
      <c r="B115" s="385" t="s">
        <v>238</v>
      </c>
      <c r="C115" s="386"/>
      <c r="D115" s="386"/>
      <c r="E115" s="35">
        <v>9189</v>
      </c>
      <c r="F115" s="35">
        <v>0</v>
      </c>
      <c r="H115" s="35">
        <v>0</v>
      </c>
      <c r="J115" s="35">
        <v>9189</v>
      </c>
    </row>
    <row r="116" spans="1:10" ht="15.95" hidden="1" customHeight="1" x14ac:dyDescent="0.2">
      <c r="A116" s="38" t="s">
        <v>239</v>
      </c>
      <c r="B116" s="385" t="s">
        <v>240</v>
      </c>
      <c r="C116" s="386"/>
      <c r="D116" s="386"/>
      <c r="E116" s="35">
        <v>9513.16</v>
      </c>
      <c r="F116" s="35">
        <v>486.84</v>
      </c>
      <c r="H116" s="35">
        <v>0</v>
      </c>
      <c r="J116" s="35">
        <v>10000</v>
      </c>
    </row>
    <row r="117" spans="1:10" ht="15.95" hidden="1" customHeight="1" x14ac:dyDescent="0.2">
      <c r="A117" s="38" t="s">
        <v>241</v>
      </c>
      <c r="B117" s="385" t="s">
        <v>242</v>
      </c>
      <c r="C117" s="386"/>
      <c r="D117" s="386"/>
      <c r="E117" s="35">
        <v>2236.2199999999998</v>
      </c>
      <c r="F117" s="35">
        <v>0</v>
      </c>
      <c r="H117" s="35">
        <v>0</v>
      </c>
      <c r="J117" s="35">
        <v>2236.2199999999998</v>
      </c>
    </row>
    <row r="118" spans="1:10" ht="15.95" hidden="1" customHeight="1" x14ac:dyDescent="0.2">
      <c r="A118" s="38" t="s">
        <v>245</v>
      </c>
      <c r="B118" s="385" t="s">
        <v>246</v>
      </c>
      <c r="C118" s="386"/>
      <c r="D118" s="386"/>
      <c r="E118" s="35">
        <v>9513.16</v>
      </c>
      <c r="F118" s="35">
        <v>0</v>
      </c>
      <c r="H118" s="35">
        <v>0</v>
      </c>
      <c r="J118" s="35">
        <v>9513.16</v>
      </c>
    </row>
    <row r="119" spans="1:10" ht="15.95" hidden="1" customHeight="1" x14ac:dyDescent="0.2">
      <c r="A119" s="38" t="s">
        <v>247</v>
      </c>
      <c r="B119" s="385" t="s">
        <v>248</v>
      </c>
      <c r="C119" s="386"/>
      <c r="D119" s="386"/>
      <c r="E119" s="35">
        <v>9513.16</v>
      </c>
      <c r="F119" s="35">
        <v>0</v>
      </c>
      <c r="H119" s="35">
        <v>0</v>
      </c>
      <c r="J119" s="35">
        <v>9513.16</v>
      </c>
    </row>
    <row r="120" spans="1:10" ht="15.95" hidden="1" customHeight="1" x14ac:dyDescent="0.2">
      <c r="A120" s="38" t="s">
        <v>1593</v>
      </c>
      <c r="B120" s="385" t="s">
        <v>263</v>
      </c>
      <c r="C120" s="386"/>
      <c r="D120" s="386"/>
      <c r="E120" s="35">
        <v>56269.279999999999</v>
      </c>
      <c r="F120" s="35">
        <v>0</v>
      </c>
      <c r="H120" s="35">
        <v>56269.279999999999</v>
      </c>
      <c r="J120" s="35">
        <v>0</v>
      </c>
    </row>
    <row r="121" spans="1:10" ht="15.95" hidden="1" customHeight="1" x14ac:dyDescent="0.2">
      <c r="A121" s="38">
        <v>1210102</v>
      </c>
      <c r="B121" s="385" t="s">
        <v>253</v>
      </c>
      <c r="C121" s="386"/>
      <c r="D121" s="386"/>
      <c r="E121" s="35">
        <v>385082.01</v>
      </c>
      <c r="F121" s="35">
        <v>62053.96</v>
      </c>
      <c r="H121" s="35">
        <v>156552.14000000001</v>
      </c>
      <c r="J121" s="35">
        <v>290583.83</v>
      </c>
    </row>
    <row r="122" spans="1:10" ht="15.95" hidden="1" customHeight="1" x14ac:dyDescent="0.2">
      <c r="A122" s="38" t="s">
        <v>254</v>
      </c>
      <c r="B122" s="385" t="s">
        <v>255</v>
      </c>
      <c r="C122" s="386"/>
      <c r="D122" s="386"/>
      <c r="E122" s="35">
        <v>83470.55</v>
      </c>
      <c r="F122" s="35">
        <v>0</v>
      </c>
      <c r="H122" s="35">
        <v>0</v>
      </c>
      <c r="J122" s="35">
        <v>83470.55</v>
      </c>
    </row>
    <row r="123" spans="1:10" ht="15.95" hidden="1" customHeight="1" x14ac:dyDescent="0.2">
      <c r="A123" s="38" t="s">
        <v>1461</v>
      </c>
      <c r="B123" s="385" t="s">
        <v>1462</v>
      </c>
      <c r="C123" s="386"/>
      <c r="D123" s="386"/>
      <c r="E123" s="35">
        <v>85454.88</v>
      </c>
      <c r="F123" s="35">
        <v>0</v>
      </c>
      <c r="H123" s="35">
        <v>85454.88</v>
      </c>
      <c r="J123" s="35">
        <v>0</v>
      </c>
    </row>
    <row r="124" spans="1:10" ht="15.95" hidden="1" customHeight="1" x14ac:dyDescent="0.2">
      <c r="A124" s="38" t="s">
        <v>256</v>
      </c>
      <c r="B124" s="385" t="s">
        <v>257</v>
      </c>
      <c r="C124" s="386"/>
      <c r="D124" s="386"/>
      <c r="E124" s="35">
        <v>56164.26</v>
      </c>
      <c r="F124" s="35">
        <v>0</v>
      </c>
      <c r="H124" s="35">
        <v>0</v>
      </c>
      <c r="J124" s="35">
        <v>56164.26</v>
      </c>
    </row>
    <row r="125" spans="1:10" ht="15.95" hidden="1" customHeight="1" x14ac:dyDescent="0.2">
      <c r="A125" s="38" t="s">
        <v>1463</v>
      </c>
      <c r="B125" s="385" t="s">
        <v>1464</v>
      </c>
      <c r="C125" s="386"/>
      <c r="D125" s="386"/>
      <c r="E125" s="35">
        <v>7376.34</v>
      </c>
      <c r="F125" s="35">
        <v>0</v>
      </c>
      <c r="H125" s="35">
        <v>7376.34</v>
      </c>
      <c r="J125" s="35">
        <v>0</v>
      </c>
    </row>
    <row r="126" spans="1:10" ht="15.95" hidden="1" customHeight="1" x14ac:dyDescent="0.2">
      <c r="A126" s="38" t="s">
        <v>1465</v>
      </c>
      <c r="B126" s="385" t="s">
        <v>1466</v>
      </c>
      <c r="C126" s="386"/>
      <c r="D126" s="386"/>
      <c r="E126" s="35">
        <v>86201.25</v>
      </c>
      <c r="F126" s="35">
        <v>0</v>
      </c>
      <c r="H126" s="35">
        <v>0</v>
      </c>
      <c r="J126" s="35">
        <v>86201.25</v>
      </c>
    </row>
    <row r="127" spans="1:10" ht="15.95" hidden="1" customHeight="1" x14ac:dyDescent="0.2">
      <c r="A127" s="38" t="s">
        <v>1467</v>
      </c>
      <c r="B127" s="385" t="s">
        <v>1468</v>
      </c>
      <c r="C127" s="386"/>
      <c r="D127" s="386"/>
      <c r="E127" s="35">
        <v>19561.36</v>
      </c>
      <c r="F127" s="35">
        <v>0</v>
      </c>
      <c r="H127" s="35">
        <v>19561.36</v>
      </c>
      <c r="J127" s="35">
        <v>0</v>
      </c>
    </row>
    <row r="128" spans="1:10" ht="15.95" hidden="1" customHeight="1" x14ac:dyDescent="0.2">
      <c r="A128" s="38" t="s">
        <v>258</v>
      </c>
      <c r="B128" s="385" t="s">
        <v>259</v>
      </c>
      <c r="C128" s="386"/>
      <c r="D128" s="386"/>
      <c r="E128" s="35">
        <v>5948.57</v>
      </c>
      <c r="F128" s="35">
        <v>0</v>
      </c>
      <c r="H128" s="35">
        <v>0</v>
      </c>
      <c r="J128" s="35">
        <v>5948.57</v>
      </c>
    </row>
    <row r="129" spans="1:10" ht="15.95" hidden="1" customHeight="1" x14ac:dyDescent="0.2">
      <c r="A129" s="38" t="s">
        <v>260</v>
      </c>
      <c r="B129" s="385" t="s">
        <v>261</v>
      </c>
      <c r="C129" s="386"/>
      <c r="D129" s="386"/>
      <c r="E129" s="35">
        <v>2529.92</v>
      </c>
      <c r="F129" s="35">
        <v>0</v>
      </c>
      <c r="H129" s="35">
        <v>0</v>
      </c>
      <c r="J129" s="35">
        <v>2529.92</v>
      </c>
    </row>
    <row r="130" spans="1:10" ht="15.95" hidden="1" customHeight="1" x14ac:dyDescent="0.2">
      <c r="A130" s="38" t="s">
        <v>1594</v>
      </c>
      <c r="B130" s="385" t="s">
        <v>222</v>
      </c>
      <c r="C130" s="386"/>
      <c r="D130" s="386"/>
      <c r="E130" s="35">
        <v>0</v>
      </c>
      <c r="F130" s="35">
        <v>5784.68</v>
      </c>
      <c r="H130" s="35">
        <v>5784.68</v>
      </c>
      <c r="J130" s="35">
        <v>0</v>
      </c>
    </row>
    <row r="131" spans="1:10" ht="15.95" hidden="1" customHeight="1" x14ac:dyDescent="0.2">
      <c r="A131" s="38" t="s">
        <v>1469</v>
      </c>
      <c r="B131" s="385" t="s">
        <v>1470</v>
      </c>
      <c r="C131" s="386"/>
      <c r="D131" s="386"/>
      <c r="E131" s="35">
        <v>38374.879999999997</v>
      </c>
      <c r="F131" s="35">
        <v>0</v>
      </c>
      <c r="H131" s="35">
        <v>38374.879999999997</v>
      </c>
      <c r="J131" s="35">
        <v>0</v>
      </c>
    </row>
    <row r="132" spans="1:10" ht="15.95" hidden="1" customHeight="1" x14ac:dyDescent="0.2">
      <c r="A132" s="38" t="s">
        <v>262</v>
      </c>
      <c r="B132" s="385" t="s">
        <v>263</v>
      </c>
      <c r="C132" s="386"/>
      <c r="D132" s="386"/>
      <c r="E132" s="35">
        <v>0</v>
      </c>
      <c r="F132" s="35">
        <v>56269.279999999999</v>
      </c>
      <c r="H132" s="35">
        <v>0</v>
      </c>
      <c r="J132" s="35">
        <v>56269.279999999999</v>
      </c>
    </row>
    <row r="133" spans="1:10" ht="15.95" hidden="1" customHeight="1" x14ac:dyDescent="0.2">
      <c r="A133" s="38">
        <v>1210103</v>
      </c>
      <c r="B133" s="385" t="s">
        <v>1471</v>
      </c>
      <c r="C133" s="386"/>
      <c r="D133" s="386"/>
      <c r="E133" s="35">
        <v>9729.9699999999993</v>
      </c>
      <c r="F133" s="35">
        <v>0</v>
      </c>
      <c r="H133" s="35">
        <v>9729.9699999999993</v>
      </c>
      <c r="J133" s="35">
        <v>0</v>
      </c>
    </row>
    <row r="134" spans="1:10" ht="15.95" hidden="1" customHeight="1" x14ac:dyDescent="0.2">
      <c r="A134" s="38" t="s">
        <v>1472</v>
      </c>
      <c r="B134" s="385" t="s">
        <v>1473</v>
      </c>
      <c r="C134" s="386"/>
      <c r="D134" s="386"/>
      <c r="E134" s="35">
        <v>9729.9699999999993</v>
      </c>
      <c r="F134" s="35">
        <v>0</v>
      </c>
      <c r="H134" s="35">
        <v>9729.9699999999993</v>
      </c>
      <c r="J134" s="35">
        <v>0</v>
      </c>
    </row>
    <row r="135" spans="1:10" ht="15.95" hidden="1" customHeight="1" x14ac:dyDescent="0.2">
      <c r="A135" s="38">
        <v>1210106</v>
      </c>
      <c r="B135" s="385" t="s">
        <v>264</v>
      </c>
      <c r="C135" s="386"/>
      <c r="D135" s="386"/>
      <c r="E135" s="35">
        <v>6425</v>
      </c>
      <c r="F135" s="35">
        <v>0</v>
      </c>
      <c r="H135" s="35">
        <v>0</v>
      </c>
      <c r="J135" s="35">
        <v>6425</v>
      </c>
    </row>
    <row r="136" spans="1:10" ht="15.95" hidden="1" customHeight="1" x14ac:dyDescent="0.2">
      <c r="A136" s="38" t="s">
        <v>1474</v>
      </c>
      <c r="B136" s="385" t="s">
        <v>1475</v>
      </c>
      <c r="C136" s="386"/>
      <c r="D136" s="386"/>
      <c r="E136" s="35">
        <v>6425</v>
      </c>
      <c r="F136" s="35">
        <v>0</v>
      </c>
      <c r="H136" s="35">
        <v>0</v>
      </c>
      <c r="J136" s="35">
        <v>6425</v>
      </c>
    </row>
    <row r="137" spans="1:10" ht="15.95" hidden="1" customHeight="1" x14ac:dyDescent="0.2">
      <c r="A137" s="38">
        <v>12102</v>
      </c>
      <c r="B137" s="385" t="s">
        <v>96</v>
      </c>
      <c r="C137" s="386"/>
      <c r="D137" s="386"/>
      <c r="E137" s="35">
        <v>78246.17</v>
      </c>
      <c r="F137" s="35">
        <v>0</v>
      </c>
      <c r="H137" s="35">
        <v>4858.7</v>
      </c>
      <c r="J137" s="35">
        <v>73387.47</v>
      </c>
    </row>
    <row r="138" spans="1:10" ht="15.95" hidden="1" customHeight="1" x14ac:dyDescent="0.2">
      <c r="A138" s="38">
        <v>1210201</v>
      </c>
      <c r="B138" s="385" t="s">
        <v>97</v>
      </c>
      <c r="C138" s="386"/>
      <c r="D138" s="386"/>
      <c r="E138" s="35">
        <v>78246.17</v>
      </c>
      <c r="F138" s="35">
        <v>0</v>
      </c>
      <c r="H138" s="35">
        <v>4858.7</v>
      </c>
      <c r="J138" s="35">
        <v>73387.47</v>
      </c>
    </row>
    <row r="139" spans="1:10" ht="15.95" hidden="1" customHeight="1" x14ac:dyDescent="0.2">
      <c r="A139" s="38" t="s">
        <v>267</v>
      </c>
      <c r="B139" s="385" t="s">
        <v>102</v>
      </c>
      <c r="C139" s="386"/>
      <c r="D139" s="386"/>
      <c r="E139" s="35">
        <v>73387.47</v>
      </c>
      <c r="F139" s="35">
        <v>0</v>
      </c>
      <c r="H139" s="35">
        <v>0</v>
      </c>
      <c r="J139" s="35">
        <v>73387.47</v>
      </c>
    </row>
    <row r="140" spans="1:10" ht="15.95" hidden="1" customHeight="1" x14ac:dyDescent="0.2">
      <c r="A140" s="38" t="s">
        <v>1476</v>
      </c>
      <c r="B140" s="385" t="s">
        <v>1477</v>
      </c>
      <c r="C140" s="386"/>
      <c r="D140" s="386"/>
      <c r="E140" s="35">
        <v>4858.7</v>
      </c>
      <c r="F140" s="35">
        <v>0</v>
      </c>
      <c r="H140" s="35">
        <v>4858.7</v>
      </c>
      <c r="J140" s="35">
        <v>0</v>
      </c>
    </row>
    <row r="141" spans="1:10" ht="15.95" hidden="1" customHeight="1" x14ac:dyDescent="0.2">
      <c r="A141" s="38">
        <v>122</v>
      </c>
      <c r="B141" s="385" t="s">
        <v>268</v>
      </c>
      <c r="C141" s="386"/>
      <c r="D141" s="386"/>
      <c r="E141" s="35">
        <v>12203.91</v>
      </c>
      <c r="F141" s="35">
        <v>0</v>
      </c>
      <c r="H141" s="35">
        <v>0</v>
      </c>
      <c r="J141" s="35">
        <v>12203.91</v>
      </c>
    </row>
    <row r="142" spans="1:10" ht="15.95" hidden="1" customHeight="1" x14ac:dyDescent="0.2">
      <c r="A142" s="38">
        <v>12201</v>
      </c>
      <c r="B142" s="385" t="s">
        <v>268</v>
      </c>
      <c r="C142" s="386"/>
      <c r="D142" s="386"/>
      <c r="E142" s="35">
        <v>12203.91</v>
      </c>
      <c r="F142" s="35">
        <v>0</v>
      </c>
      <c r="H142" s="35">
        <v>0</v>
      </c>
      <c r="J142" s="35">
        <v>12203.91</v>
      </c>
    </row>
    <row r="143" spans="1:10" ht="15.95" hidden="1" customHeight="1" x14ac:dyDescent="0.2">
      <c r="A143" s="38">
        <v>1220105</v>
      </c>
      <c r="B143" s="385" t="s">
        <v>269</v>
      </c>
      <c r="C143" s="386"/>
      <c r="D143" s="386"/>
      <c r="E143" s="35">
        <v>12203.91</v>
      </c>
      <c r="F143" s="35">
        <v>0</v>
      </c>
      <c r="H143" s="35">
        <v>0</v>
      </c>
      <c r="J143" s="35">
        <v>12203.91</v>
      </c>
    </row>
    <row r="144" spans="1:10" ht="15.95" hidden="1" customHeight="1" x14ac:dyDescent="0.2">
      <c r="A144" s="38" t="s">
        <v>270</v>
      </c>
      <c r="B144" s="385" t="s">
        <v>271</v>
      </c>
      <c r="C144" s="386"/>
      <c r="D144" s="386"/>
      <c r="E144" s="35">
        <v>4179.53</v>
      </c>
      <c r="F144" s="35">
        <v>0</v>
      </c>
      <c r="H144" s="35">
        <v>0</v>
      </c>
      <c r="J144" s="35">
        <v>4179.53</v>
      </c>
    </row>
    <row r="145" spans="1:10" ht="15.95" hidden="1" customHeight="1" x14ac:dyDescent="0.2">
      <c r="A145" s="38" t="s">
        <v>272</v>
      </c>
      <c r="B145" s="385" t="s">
        <v>273</v>
      </c>
      <c r="C145" s="386"/>
      <c r="D145" s="386"/>
      <c r="E145" s="35">
        <v>8024.38</v>
      </c>
      <c r="F145" s="35">
        <v>0</v>
      </c>
      <c r="H145" s="35">
        <v>0</v>
      </c>
      <c r="J145" s="35">
        <v>8024.38</v>
      </c>
    </row>
    <row r="146" spans="1:10" ht="15.95" hidden="1" customHeight="1" x14ac:dyDescent="0.2">
      <c r="A146" s="38">
        <v>123</v>
      </c>
      <c r="B146" s="385" t="s">
        <v>274</v>
      </c>
      <c r="C146" s="386"/>
      <c r="D146" s="386"/>
      <c r="E146" s="35">
        <v>322168427.23000002</v>
      </c>
      <c r="F146" s="35">
        <v>36168850.289999999</v>
      </c>
      <c r="H146" s="35">
        <v>49518986.469999999</v>
      </c>
      <c r="J146" s="35">
        <v>308818291.05000001</v>
      </c>
    </row>
    <row r="147" spans="1:10" ht="15.95" hidden="1" customHeight="1" x14ac:dyDescent="0.2">
      <c r="A147" s="38">
        <v>12301</v>
      </c>
      <c r="B147" s="385" t="s">
        <v>274</v>
      </c>
      <c r="C147" s="386"/>
      <c r="D147" s="386"/>
      <c r="E147" s="35">
        <v>402823127.56</v>
      </c>
      <c r="F147" s="35">
        <v>34669988.189999998</v>
      </c>
      <c r="H147" s="35">
        <v>42430708.950000003</v>
      </c>
      <c r="J147" s="35">
        <v>395062406.80000001</v>
      </c>
    </row>
    <row r="148" spans="1:10" ht="15.95" hidden="1" customHeight="1" x14ac:dyDescent="0.2">
      <c r="A148" s="38">
        <v>1230101</v>
      </c>
      <c r="B148" s="385" t="s">
        <v>275</v>
      </c>
      <c r="C148" s="386"/>
      <c r="D148" s="386"/>
      <c r="E148" s="35">
        <v>14974342.1</v>
      </c>
      <c r="F148" s="35">
        <v>400</v>
      </c>
      <c r="H148" s="35">
        <v>0</v>
      </c>
      <c r="J148" s="35">
        <v>14974742.1</v>
      </c>
    </row>
    <row r="149" spans="1:10" ht="15.95" hidden="1" customHeight="1" x14ac:dyDescent="0.2">
      <c r="A149" s="38" t="s">
        <v>276</v>
      </c>
      <c r="B149" s="385" t="s">
        <v>277</v>
      </c>
      <c r="C149" s="386"/>
      <c r="D149" s="386"/>
      <c r="E149" s="35">
        <v>65660.77</v>
      </c>
      <c r="F149" s="35">
        <v>0</v>
      </c>
      <c r="H149" s="35">
        <v>0</v>
      </c>
      <c r="J149" s="35">
        <v>65660.77</v>
      </c>
    </row>
    <row r="150" spans="1:10" ht="15.95" hidden="1" customHeight="1" x14ac:dyDescent="0.2">
      <c r="A150" s="38" t="s">
        <v>278</v>
      </c>
      <c r="B150" s="385" t="s">
        <v>279</v>
      </c>
      <c r="C150" s="386"/>
      <c r="D150" s="386"/>
      <c r="E150" s="35">
        <v>12832.06</v>
      </c>
      <c r="F150" s="35">
        <v>0</v>
      </c>
      <c r="H150" s="35">
        <v>0</v>
      </c>
      <c r="J150" s="35">
        <v>12832.06</v>
      </c>
    </row>
    <row r="151" spans="1:10" ht="15.95" hidden="1" customHeight="1" x14ac:dyDescent="0.2">
      <c r="A151" s="38" t="s">
        <v>280</v>
      </c>
      <c r="B151" s="385" t="s">
        <v>281</v>
      </c>
      <c r="C151" s="386"/>
      <c r="D151" s="386"/>
      <c r="E151" s="35">
        <v>1204903.52</v>
      </c>
      <c r="F151" s="35">
        <v>0</v>
      </c>
      <c r="H151" s="35">
        <v>0</v>
      </c>
      <c r="J151" s="35">
        <v>1204903.52</v>
      </c>
    </row>
    <row r="152" spans="1:10" ht="15.95" hidden="1" customHeight="1" x14ac:dyDescent="0.2">
      <c r="A152" s="38" t="s">
        <v>282</v>
      </c>
      <c r="B152" s="385" t="s">
        <v>283</v>
      </c>
      <c r="C152" s="386"/>
      <c r="D152" s="386"/>
      <c r="E152" s="35">
        <v>9692277.8000000007</v>
      </c>
      <c r="F152" s="35">
        <v>0</v>
      </c>
      <c r="H152" s="35">
        <v>0</v>
      </c>
      <c r="J152" s="35">
        <v>9692277.8000000007</v>
      </c>
    </row>
    <row r="153" spans="1:10" ht="15.95" hidden="1" customHeight="1" x14ac:dyDescent="0.2">
      <c r="A153" s="38" t="s">
        <v>284</v>
      </c>
      <c r="B153" s="385" t="s">
        <v>285</v>
      </c>
      <c r="C153" s="386"/>
      <c r="D153" s="386"/>
      <c r="E153" s="35">
        <v>666282.91</v>
      </c>
      <c r="F153" s="35">
        <v>400</v>
      </c>
      <c r="H153" s="35">
        <v>0</v>
      </c>
      <c r="J153" s="35">
        <v>666682.91</v>
      </c>
    </row>
    <row r="154" spans="1:10" ht="15.95" hidden="1" customHeight="1" x14ac:dyDescent="0.2">
      <c r="A154" s="38" t="s">
        <v>286</v>
      </c>
      <c r="B154" s="385" t="s">
        <v>287</v>
      </c>
      <c r="C154" s="386"/>
      <c r="D154" s="386"/>
      <c r="E154" s="35">
        <v>1279140.06</v>
      </c>
      <c r="F154" s="35">
        <v>0</v>
      </c>
      <c r="H154" s="35">
        <v>0</v>
      </c>
      <c r="J154" s="35">
        <v>1279140.06</v>
      </c>
    </row>
    <row r="155" spans="1:10" ht="15.95" hidden="1" customHeight="1" x14ac:dyDescent="0.2">
      <c r="A155" s="38" t="s">
        <v>288</v>
      </c>
      <c r="B155" s="385" t="s">
        <v>289</v>
      </c>
      <c r="C155" s="386"/>
      <c r="D155" s="386"/>
      <c r="E155" s="35">
        <v>1259543.1399999999</v>
      </c>
      <c r="F155" s="35">
        <v>0</v>
      </c>
      <c r="H155" s="35">
        <v>0</v>
      </c>
      <c r="J155" s="35">
        <v>1259543.1399999999</v>
      </c>
    </row>
    <row r="156" spans="1:10" ht="15.95" hidden="1" customHeight="1" x14ac:dyDescent="0.2">
      <c r="A156" s="38" t="s">
        <v>290</v>
      </c>
      <c r="B156" s="385" t="s">
        <v>291</v>
      </c>
      <c r="C156" s="386"/>
      <c r="D156" s="386"/>
      <c r="E156" s="35">
        <v>778347.84</v>
      </c>
      <c r="F156" s="35">
        <v>0</v>
      </c>
      <c r="H156" s="35">
        <v>0</v>
      </c>
      <c r="J156" s="35">
        <v>778347.84</v>
      </c>
    </row>
    <row r="157" spans="1:10" ht="15.95" hidden="1" customHeight="1" x14ac:dyDescent="0.2">
      <c r="A157" s="38" t="s">
        <v>292</v>
      </c>
      <c r="B157" s="385" t="s">
        <v>293</v>
      </c>
      <c r="C157" s="386"/>
      <c r="D157" s="386"/>
      <c r="E157" s="35">
        <v>15354</v>
      </c>
      <c r="F157" s="35">
        <v>0</v>
      </c>
      <c r="H157" s="35">
        <v>0</v>
      </c>
      <c r="J157" s="35">
        <v>15354</v>
      </c>
    </row>
    <row r="158" spans="1:10" ht="15.95" hidden="1" customHeight="1" x14ac:dyDescent="0.2">
      <c r="A158" s="38">
        <v>1230102</v>
      </c>
      <c r="B158" s="385" t="s">
        <v>296</v>
      </c>
      <c r="C158" s="386"/>
      <c r="D158" s="386"/>
      <c r="E158" s="35">
        <v>115537342.59999999</v>
      </c>
      <c r="F158" s="35">
        <v>34623941.630000003</v>
      </c>
      <c r="H158" s="35">
        <v>5663856.9400000004</v>
      </c>
      <c r="J158" s="35">
        <v>144497427.28999999</v>
      </c>
    </row>
    <row r="159" spans="1:10" ht="15.95" hidden="1" customHeight="1" x14ac:dyDescent="0.2">
      <c r="A159" s="38" t="s">
        <v>297</v>
      </c>
      <c r="B159" s="385" t="s">
        <v>298</v>
      </c>
      <c r="C159" s="386"/>
      <c r="D159" s="386"/>
      <c r="E159" s="35">
        <v>1770.62</v>
      </c>
      <c r="F159" s="35">
        <v>0</v>
      </c>
      <c r="H159" s="35">
        <v>0</v>
      </c>
      <c r="J159" s="35">
        <v>1770.62</v>
      </c>
    </row>
    <row r="160" spans="1:10" ht="15.95" hidden="1" customHeight="1" x14ac:dyDescent="0.2">
      <c r="A160" s="38" t="s">
        <v>299</v>
      </c>
      <c r="B160" s="385" t="s">
        <v>300</v>
      </c>
      <c r="C160" s="386"/>
      <c r="D160" s="386"/>
      <c r="E160" s="35">
        <v>14979891.75</v>
      </c>
      <c r="F160" s="35">
        <v>0</v>
      </c>
      <c r="H160" s="35">
        <v>609670.02</v>
      </c>
      <c r="J160" s="35">
        <v>14370221.73</v>
      </c>
    </row>
    <row r="161" spans="1:10" ht="15.95" hidden="1" customHeight="1" x14ac:dyDescent="0.2">
      <c r="A161" s="38" t="s">
        <v>301</v>
      </c>
      <c r="B161" s="385" t="s">
        <v>302</v>
      </c>
      <c r="C161" s="386"/>
      <c r="D161" s="386"/>
      <c r="E161" s="35">
        <v>4450.58</v>
      </c>
      <c r="F161" s="35">
        <v>0</v>
      </c>
      <c r="H161" s="35">
        <v>0</v>
      </c>
      <c r="J161" s="35">
        <v>4450.58</v>
      </c>
    </row>
    <row r="162" spans="1:10" ht="15.95" hidden="1" customHeight="1" x14ac:dyDescent="0.2">
      <c r="A162" s="38" t="s">
        <v>303</v>
      </c>
      <c r="B162" s="385" t="s">
        <v>304</v>
      </c>
      <c r="C162" s="386"/>
      <c r="D162" s="386"/>
      <c r="E162" s="35">
        <v>3018715.09</v>
      </c>
      <c r="F162" s="35">
        <v>22053699.48</v>
      </c>
      <c r="H162" s="35">
        <v>1048631.78</v>
      </c>
      <c r="J162" s="35">
        <v>24023782.789999999</v>
      </c>
    </row>
    <row r="163" spans="1:10" ht="15.95" hidden="1" customHeight="1" x14ac:dyDescent="0.2">
      <c r="A163" s="38" t="s">
        <v>305</v>
      </c>
      <c r="B163" s="385" t="s">
        <v>306</v>
      </c>
      <c r="C163" s="386"/>
      <c r="D163" s="386"/>
      <c r="E163" s="35">
        <v>59377048.119999997</v>
      </c>
      <c r="F163" s="35">
        <v>598141.6</v>
      </c>
      <c r="H163" s="35">
        <v>0</v>
      </c>
      <c r="J163" s="35">
        <v>59975189.719999999</v>
      </c>
    </row>
    <row r="164" spans="1:10" ht="27.95" hidden="1" customHeight="1" x14ac:dyDescent="0.2">
      <c r="A164" s="38" t="s">
        <v>307</v>
      </c>
      <c r="B164" s="385" t="s">
        <v>308</v>
      </c>
      <c r="C164" s="386"/>
      <c r="D164" s="386"/>
      <c r="E164" s="35">
        <v>9551045.0299999993</v>
      </c>
      <c r="F164" s="35">
        <v>6900377.1699999999</v>
      </c>
      <c r="H164" s="35">
        <v>0</v>
      </c>
      <c r="J164" s="35">
        <v>16451422.199999999</v>
      </c>
    </row>
    <row r="165" spans="1:10" ht="15.95" hidden="1" customHeight="1" x14ac:dyDescent="0.2">
      <c r="A165" s="38" t="s">
        <v>309</v>
      </c>
      <c r="B165" s="385" t="s">
        <v>310</v>
      </c>
      <c r="C165" s="386"/>
      <c r="D165" s="386"/>
      <c r="E165" s="35">
        <v>501889.3</v>
      </c>
      <c r="F165" s="35">
        <v>0</v>
      </c>
      <c r="H165" s="35">
        <v>0</v>
      </c>
      <c r="J165" s="35">
        <v>501889.3</v>
      </c>
    </row>
    <row r="166" spans="1:10" ht="15.95" hidden="1" customHeight="1" x14ac:dyDescent="0.2">
      <c r="A166" s="38" t="s">
        <v>311</v>
      </c>
      <c r="B166" s="385" t="s">
        <v>312</v>
      </c>
      <c r="C166" s="386"/>
      <c r="D166" s="386"/>
      <c r="E166" s="35">
        <v>95202.46</v>
      </c>
      <c r="F166" s="35">
        <v>0</v>
      </c>
      <c r="H166" s="35">
        <v>0</v>
      </c>
      <c r="J166" s="35">
        <v>95202.46</v>
      </c>
    </row>
    <row r="167" spans="1:10" ht="15.95" hidden="1" customHeight="1" x14ac:dyDescent="0.2">
      <c r="A167" s="38" t="s">
        <v>313</v>
      </c>
      <c r="B167" s="385" t="s">
        <v>314</v>
      </c>
      <c r="C167" s="386"/>
      <c r="D167" s="386"/>
      <c r="E167" s="35">
        <v>13925.73</v>
      </c>
      <c r="F167" s="35">
        <v>0</v>
      </c>
      <c r="H167" s="35">
        <v>0</v>
      </c>
      <c r="J167" s="35">
        <v>13925.73</v>
      </c>
    </row>
    <row r="168" spans="1:10" ht="15.95" hidden="1" customHeight="1" x14ac:dyDescent="0.2">
      <c r="A168" s="38" t="s">
        <v>315</v>
      </c>
      <c r="B168" s="385" t="s">
        <v>316</v>
      </c>
      <c r="C168" s="386"/>
      <c r="D168" s="386"/>
      <c r="E168" s="35">
        <v>12484345.49</v>
      </c>
      <c r="F168" s="35">
        <v>0</v>
      </c>
      <c r="H168" s="35">
        <v>0</v>
      </c>
      <c r="J168" s="35">
        <v>12484345.49</v>
      </c>
    </row>
    <row r="169" spans="1:10" ht="15.95" hidden="1" customHeight="1" x14ac:dyDescent="0.2">
      <c r="A169" s="38" t="s">
        <v>317</v>
      </c>
      <c r="B169" s="385" t="s">
        <v>318</v>
      </c>
      <c r="C169" s="386"/>
      <c r="D169" s="386"/>
      <c r="E169" s="35">
        <v>984332.14</v>
      </c>
      <c r="F169" s="35">
        <v>0</v>
      </c>
      <c r="H169" s="35">
        <v>0</v>
      </c>
      <c r="J169" s="35">
        <v>984332.14</v>
      </c>
    </row>
    <row r="170" spans="1:10" ht="15.95" hidden="1" customHeight="1" x14ac:dyDescent="0.2">
      <c r="A170" s="38" t="s">
        <v>319</v>
      </c>
      <c r="B170" s="385" t="s">
        <v>320</v>
      </c>
      <c r="C170" s="386"/>
      <c r="D170" s="386"/>
      <c r="E170" s="35">
        <v>600371.77</v>
      </c>
      <c r="F170" s="35">
        <v>0</v>
      </c>
      <c r="H170" s="35">
        <v>0</v>
      </c>
      <c r="J170" s="35">
        <v>600371.77</v>
      </c>
    </row>
    <row r="171" spans="1:10" ht="15.95" hidden="1" customHeight="1" x14ac:dyDescent="0.2">
      <c r="A171" s="38" t="s">
        <v>321</v>
      </c>
      <c r="B171" s="385" t="s">
        <v>322</v>
      </c>
      <c r="C171" s="386"/>
      <c r="D171" s="386"/>
      <c r="E171" s="35">
        <v>123943.43</v>
      </c>
      <c r="F171" s="35">
        <v>0</v>
      </c>
      <c r="H171" s="35">
        <v>0</v>
      </c>
      <c r="J171" s="35">
        <v>123943.43</v>
      </c>
    </row>
    <row r="172" spans="1:10" ht="15.95" hidden="1" customHeight="1" x14ac:dyDescent="0.2">
      <c r="A172" s="38" t="s">
        <v>323</v>
      </c>
      <c r="B172" s="385" t="s">
        <v>324</v>
      </c>
      <c r="C172" s="386"/>
      <c r="D172" s="386"/>
      <c r="E172" s="35">
        <v>149.38</v>
      </c>
      <c r="F172" s="35">
        <v>0</v>
      </c>
      <c r="H172" s="35">
        <v>0</v>
      </c>
      <c r="J172" s="35">
        <v>149.38</v>
      </c>
    </row>
    <row r="173" spans="1:10" ht="15.95" hidden="1" customHeight="1" x14ac:dyDescent="0.2">
      <c r="A173" s="38" t="s">
        <v>325</v>
      </c>
      <c r="B173" s="385" t="s">
        <v>326</v>
      </c>
      <c r="C173" s="386"/>
      <c r="D173" s="386"/>
      <c r="E173" s="35">
        <v>2942111.51</v>
      </c>
      <c r="F173" s="35">
        <v>0</v>
      </c>
      <c r="H173" s="35">
        <v>0</v>
      </c>
      <c r="J173" s="35">
        <v>2942111.51</v>
      </c>
    </row>
    <row r="174" spans="1:10" ht="15.95" hidden="1" customHeight="1" x14ac:dyDescent="0.2">
      <c r="A174" s="38" t="s">
        <v>327</v>
      </c>
      <c r="B174" s="385" t="s">
        <v>328</v>
      </c>
      <c r="C174" s="386"/>
      <c r="D174" s="386"/>
      <c r="E174" s="35">
        <v>1970.82</v>
      </c>
      <c r="F174" s="35">
        <v>0</v>
      </c>
      <c r="H174" s="35">
        <v>0</v>
      </c>
      <c r="J174" s="35">
        <v>1970.82</v>
      </c>
    </row>
    <row r="175" spans="1:10" ht="15.95" hidden="1" customHeight="1" x14ac:dyDescent="0.2">
      <c r="A175" s="38" t="s">
        <v>329</v>
      </c>
      <c r="B175" s="385" t="s">
        <v>330</v>
      </c>
      <c r="C175" s="386"/>
      <c r="D175" s="386"/>
      <c r="E175" s="35">
        <v>468475.02</v>
      </c>
      <c r="F175" s="35">
        <v>0</v>
      </c>
      <c r="H175" s="35">
        <v>0</v>
      </c>
      <c r="J175" s="35">
        <v>468475.02</v>
      </c>
    </row>
    <row r="176" spans="1:10" ht="15.95" hidden="1" customHeight="1" x14ac:dyDescent="0.2">
      <c r="A176" s="38" t="s">
        <v>331</v>
      </c>
      <c r="B176" s="385" t="s">
        <v>332</v>
      </c>
      <c r="C176" s="386"/>
      <c r="D176" s="386"/>
      <c r="E176" s="35">
        <v>7045901.6699999999</v>
      </c>
      <c r="F176" s="35">
        <v>0</v>
      </c>
      <c r="H176" s="35">
        <v>0</v>
      </c>
      <c r="J176" s="35">
        <v>7045901.6699999999</v>
      </c>
    </row>
    <row r="177" spans="1:10" ht="15.95" hidden="1" customHeight="1" x14ac:dyDescent="0.2">
      <c r="A177" s="38" t="s">
        <v>333</v>
      </c>
      <c r="B177" s="385" t="s">
        <v>334</v>
      </c>
      <c r="C177" s="386"/>
      <c r="D177" s="386"/>
      <c r="E177" s="35">
        <v>1224566.5900000001</v>
      </c>
      <c r="F177" s="35">
        <v>0</v>
      </c>
      <c r="H177" s="35">
        <v>0</v>
      </c>
      <c r="J177" s="35">
        <v>1224566.5900000001</v>
      </c>
    </row>
    <row r="178" spans="1:10" ht="15.95" hidden="1" customHeight="1" x14ac:dyDescent="0.2">
      <c r="A178" s="38" t="s">
        <v>335</v>
      </c>
      <c r="B178" s="385" t="s">
        <v>336</v>
      </c>
      <c r="C178" s="386"/>
      <c r="D178" s="386"/>
      <c r="E178" s="35">
        <v>2117236.1</v>
      </c>
      <c r="F178" s="35">
        <v>0</v>
      </c>
      <c r="H178" s="35">
        <v>0</v>
      </c>
      <c r="J178" s="35">
        <v>2117236.1</v>
      </c>
    </row>
    <row r="179" spans="1:10" ht="15.95" hidden="1" customHeight="1" x14ac:dyDescent="0.2">
      <c r="A179" s="38" t="s">
        <v>337</v>
      </c>
      <c r="B179" s="385" t="s">
        <v>338</v>
      </c>
      <c r="C179" s="386"/>
      <c r="D179" s="386"/>
      <c r="E179" s="35">
        <v>0</v>
      </c>
      <c r="F179" s="35">
        <v>5071723.38</v>
      </c>
      <c r="H179" s="35">
        <v>4005555.14</v>
      </c>
      <c r="J179" s="35">
        <v>1066168.24</v>
      </c>
    </row>
    <row r="180" spans="1:10" ht="15.95" hidden="1" customHeight="1" x14ac:dyDescent="0.2">
      <c r="A180" s="38">
        <v>1230103</v>
      </c>
      <c r="B180" s="385" t="s">
        <v>339</v>
      </c>
      <c r="C180" s="386"/>
      <c r="D180" s="386"/>
      <c r="E180" s="35">
        <v>35013647.759999998</v>
      </c>
      <c r="F180" s="35">
        <v>45646.559999999998</v>
      </c>
      <c r="H180" s="35">
        <v>34025800.030000001</v>
      </c>
      <c r="J180" s="35">
        <v>1033494.29</v>
      </c>
    </row>
    <row r="181" spans="1:10" ht="15.95" hidden="1" customHeight="1" x14ac:dyDescent="0.2">
      <c r="A181" s="38" t="s">
        <v>1478</v>
      </c>
      <c r="B181" s="385" t="s">
        <v>1479</v>
      </c>
      <c r="C181" s="386"/>
      <c r="D181" s="386"/>
      <c r="E181" s="35">
        <v>1432134.18</v>
      </c>
      <c r="F181" s="35">
        <v>0</v>
      </c>
      <c r="H181" s="35">
        <v>1432134.18</v>
      </c>
      <c r="J181" s="35">
        <v>0</v>
      </c>
    </row>
    <row r="182" spans="1:10" ht="15.95" hidden="1" customHeight="1" x14ac:dyDescent="0.2">
      <c r="A182" s="38" t="s">
        <v>1480</v>
      </c>
      <c r="B182" s="385" t="s">
        <v>1481</v>
      </c>
      <c r="C182" s="386"/>
      <c r="D182" s="386"/>
      <c r="E182" s="35">
        <v>5468242.9900000002</v>
      </c>
      <c r="F182" s="35">
        <v>0</v>
      </c>
      <c r="H182" s="35">
        <v>5468242.9900000002</v>
      </c>
      <c r="J182" s="35">
        <v>0</v>
      </c>
    </row>
    <row r="183" spans="1:10" ht="15.95" hidden="1" customHeight="1" x14ac:dyDescent="0.2">
      <c r="A183" s="38" t="s">
        <v>1482</v>
      </c>
      <c r="B183" s="385" t="s">
        <v>1483</v>
      </c>
      <c r="C183" s="386"/>
      <c r="D183" s="386"/>
      <c r="E183" s="35">
        <v>22053699.48</v>
      </c>
      <c r="F183" s="35">
        <v>0</v>
      </c>
      <c r="H183" s="35">
        <v>22053699.48</v>
      </c>
      <c r="J183" s="35">
        <v>0</v>
      </c>
    </row>
    <row r="184" spans="1:10" ht="15.95" hidden="1" customHeight="1" x14ac:dyDescent="0.2">
      <c r="A184" s="38" t="s">
        <v>1484</v>
      </c>
      <c r="B184" s="385" t="s">
        <v>1485</v>
      </c>
      <c r="C184" s="386"/>
      <c r="D184" s="386"/>
      <c r="E184" s="35">
        <v>5071723.38</v>
      </c>
      <c r="F184" s="35">
        <v>0</v>
      </c>
      <c r="H184" s="35">
        <v>5071723.38</v>
      </c>
      <c r="J184" s="35">
        <v>0</v>
      </c>
    </row>
    <row r="185" spans="1:10" ht="15.95" hidden="1" customHeight="1" x14ac:dyDescent="0.2">
      <c r="A185" s="38" t="s">
        <v>340</v>
      </c>
      <c r="B185" s="385" t="s">
        <v>341</v>
      </c>
      <c r="C185" s="386"/>
      <c r="D185" s="386"/>
      <c r="E185" s="35">
        <v>382225.69</v>
      </c>
      <c r="F185" s="35">
        <v>0</v>
      </c>
      <c r="H185" s="35">
        <v>0</v>
      </c>
      <c r="J185" s="35">
        <v>382225.69</v>
      </c>
    </row>
    <row r="186" spans="1:10" ht="15.95" hidden="1" customHeight="1" x14ac:dyDescent="0.2">
      <c r="A186" s="38" t="s">
        <v>1486</v>
      </c>
      <c r="B186" s="385" t="s">
        <v>295</v>
      </c>
      <c r="C186" s="386"/>
      <c r="D186" s="386"/>
      <c r="E186" s="35">
        <v>605622.04</v>
      </c>
      <c r="F186" s="35">
        <v>45646.559999999998</v>
      </c>
      <c r="H186" s="35">
        <v>0</v>
      </c>
      <c r="J186" s="35">
        <v>651268.6</v>
      </c>
    </row>
    <row r="187" spans="1:10" ht="15.95" hidden="1" customHeight="1" x14ac:dyDescent="0.2">
      <c r="A187" s="38">
        <v>1230104</v>
      </c>
      <c r="B187" s="385" t="s">
        <v>342</v>
      </c>
      <c r="C187" s="386"/>
      <c r="D187" s="386"/>
      <c r="E187" s="35">
        <v>1626929.13</v>
      </c>
      <c r="F187" s="35">
        <v>0</v>
      </c>
      <c r="H187" s="35">
        <v>0</v>
      </c>
      <c r="J187" s="35">
        <v>1626929.13</v>
      </c>
    </row>
    <row r="188" spans="1:10" ht="15.95" hidden="1" customHeight="1" x14ac:dyDescent="0.2">
      <c r="A188" s="38" t="s">
        <v>343</v>
      </c>
      <c r="B188" s="385" t="s">
        <v>344</v>
      </c>
      <c r="C188" s="386"/>
      <c r="D188" s="386"/>
      <c r="E188" s="35">
        <v>527833.12</v>
      </c>
      <c r="F188" s="35">
        <v>0</v>
      </c>
      <c r="H188" s="35">
        <v>0</v>
      </c>
      <c r="J188" s="35">
        <v>527833.12</v>
      </c>
    </row>
    <row r="189" spans="1:10" ht="15.95" hidden="1" customHeight="1" x14ac:dyDescent="0.2">
      <c r="A189" s="38" t="s">
        <v>345</v>
      </c>
      <c r="B189" s="385" t="s">
        <v>346</v>
      </c>
      <c r="C189" s="386"/>
      <c r="D189" s="386"/>
      <c r="E189" s="35">
        <v>140000</v>
      </c>
      <c r="F189" s="35">
        <v>0</v>
      </c>
      <c r="H189" s="35">
        <v>0</v>
      </c>
      <c r="J189" s="35">
        <v>140000</v>
      </c>
    </row>
    <row r="190" spans="1:10" ht="15.95" hidden="1" customHeight="1" x14ac:dyDescent="0.2">
      <c r="A190" s="38" t="s">
        <v>347</v>
      </c>
      <c r="B190" s="385" t="s">
        <v>348</v>
      </c>
      <c r="C190" s="386"/>
      <c r="D190" s="386"/>
      <c r="E190" s="35">
        <v>959096.01</v>
      </c>
      <c r="F190" s="35">
        <v>0</v>
      </c>
      <c r="H190" s="35">
        <v>0</v>
      </c>
      <c r="J190" s="35">
        <v>959096.01</v>
      </c>
    </row>
    <row r="191" spans="1:10" ht="15.95" hidden="1" customHeight="1" x14ac:dyDescent="0.2">
      <c r="A191" s="38">
        <v>1230105</v>
      </c>
      <c r="B191" s="385" t="s">
        <v>349</v>
      </c>
      <c r="C191" s="386"/>
      <c r="D191" s="386"/>
      <c r="E191" s="35">
        <v>238454443.41</v>
      </c>
      <c r="F191" s="35">
        <v>0</v>
      </c>
      <c r="H191" s="35">
        <v>0</v>
      </c>
      <c r="J191" s="35">
        <v>238454443.41</v>
      </c>
    </row>
    <row r="192" spans="1:10" ht="15.95" hidden="1" customHeight="1" x14ac:dyDescent="0.2">
      <c r="A192" s="38" t="s">
        <v>350</v>
      </c>
      <c r="B192" s="385" t="s">
        <v>351</v>
      </c>
      <c r="C192" s="386"/>
      <c r="D192" s="386"/>
      <c r="E192" s="35">
        <v>231979697.44</v>
      </c>
      <c r="F192" s="35">
        <v>0</v>
      </c>
      <c r="H192" s="35">
        <v>0</v>
      </c>
      <c r="J192" s="35">
        <v>231979697.44</v>
      </c>
    </row>
    <row r="193" spans="1:10" ht="15.95" hidden="1" customHeight="1" x14ac:dyDescent="0.2">
      <c r="A193" s="38" t="s">
        <v>352</v>
      </c>
      <c r="B193" s="385" t="s">
        <v>353</v>
      </c>
      <c r="C193" s="386"/>
      <c r="D193" s="386"/>
      <c r="E193" s="35">
        <v>1093994.98</v>
      </c>
      <c r="F193" s="35">
        <v>0</v>
      </c>
      <c r="H193" s="35">
        <v>0</v>
      </c>
      <c r="J193" s="35">
        <v>1093994.98</v>
      </c>
    </row>
    <row r="194" spans="1:10" ht="15.95" hidden="1" customHeight="1" x14ac:dyDescent="0.2">
      <c r="A194" s="38" t="s">
        <v>354</v>
      </c>
      <c r="B194" s="385" t="s">
        <v>355</v>
      </c>
      <c r="C194" s="386"/>
      <c r="D194" s="386"/>
      <c r="E194" s="35">
        <v>3533050.99</v>
      </c>
      <c r="F194" s="35">
        <v>0</v>
      </c>
      <c r="H194" s="35">
        <v>0</v>
      </c>
      <c r="J194" s="35">
        <v>3533050.99</v>
      </c>
    </row>
    <row r="195" spans="1:10" ht="15.95" hidden="1" customHeight="1" x14ac:dyDescent="0.2">
      <c r="A195" s="38" t="s">
        <v>356</v>
      </c>
      <c r="B195" s="385" t="s">
        <v>357</v>
      </c>
      <c r="C195" s="386"/>
      <c r="D195" s="386"/>
      <c r="E195" s="35">
        <v>6700</v>
      </c>
      <c r="F195" s="35">
        <v>0</v>
      </c>
      <c r="H195" s="35">
        <v>0</v>
      </c>
      <c r="J195" s="35">
        <v>6700</v>
      </c>
    </row>
    <row r="196" spans="1:10" ht="15.95" hidden="1" customHeight="1" x14ac:dyDescent="0.2">
      <c r="A196" s="38" t="s">
        <v>358</v>
      </c>
      <c r="B196" s="385" t="s">
        <v>359</v>
      </c>
      <c r="C196" s="386"/>
      <c r="D196" s="386"/>
      <c r="E196" s="35">
        <v>1841000</v>
      </c>
      <c r="F196" s="35">
        <v>0</v>
      </c>
      <c r="H196" s="35">
        <v>0</v>
      </c>
      <c r="J196" s="35">
        <v>1841000</v>
      </c>
    </row>
    <row r="197" spans="1:10" ht="15.95" hidden="1" customHeight="1" x14ac:dyDescent="0.2">
      <c r="A197" s="38">
        <v>1230108</v>
      </c>
      <c r="B197" s="385" t="s">
        <v>360</v>
      </c>
      <c r="C197" s="386"/>
      <c r="D197" s="386"/>
      <c r="E197" s="35">
        <v>-2783577.44</v>
      </c>
      <c r="F197" s="35">
        <v>0</v>
      </c>
      <c r="H197" s="35">
        <v>2741051.98</v>
      </c>
      <c r="J197" s="35">
        <v>-5524629.4199999999</v>
      </c>
    </row>
    <row r="198" spans="1:10" ht="15.95" hidden="1" customHeight="1" x14ac:dyDescent="0.2">
      <c r="A198" s="38" t="s">
        <v>361</v>
      </c>
      <c r="B198" s="385" t="s">
        <v>362</v>
      </c>
      <c r="C198" s="386"/>
      <c r="D198" s="386"/>
      <c r="E198" s="35">
        <v>-18424.2</v>
      </c>
      <c r="F198" s="35">
        <v>0</v>
      </c>
      <c r="H198" s="35">
        <v>0</v>
      </c>
      <c r="J198" s="35">
        <v>-18424.2</v>
      </c>
    </row>
    <row r="199" spans="1:10" ht="15.95" hidden="1" customHeight="1" x14ac:dyDescent="0.2">
      <c r="A199" s="38" t="s">
        <v>363</v>
      </c>
      <c r="B199" s="385" t="s">
        <v>364</v>
      </c>
      <c r="C199" s="386"/>
      <c r="D199" s="386"/>
      <c r="E199" s="35">
        <v>-170198.69</v>
      </c>
      <c r="F199" s="35">
        <v>0</v>
      </c>
      <c r="H199" s="35">
        <v>0</v>
      </c>
      <c r="J199" s="35">
        <v>-170198.69</v>
      </c>
    </row>
    <row r="200" spans="1:10" ht="15.95" hidden="1" customHeight="1" x14ac:dyDescent="0.2">
      <c r="A200" s="38" t="s">
        <v>365</v>
      </c>
      <c r="B200" s="385" t="s">
        <v>366</v>
      </c>
      <c r="C200" s="386"/>
      <c r="D200" s="386"/>
      <c r="E200" s="35">
        <v>-23611.29</v>
      </c>
      <c r="F200" s="35">
        <v>0</v>
      </c>
      <c r="H200" s="35">
        <v>0</v>
      </c>
      <c r="J200" s="35">
        <v>-23611.29</v>
      </c>
    </row>
    <row r="201" spans="1:10" ht="15.95" hidden="1" customHeight="1" x14ac:dyDescent="0.2">
      <c r="A201" s="38" t="s">
        <v>367</v>
      </c>
      <c r="B201" s="385" t="s">
        <v>368</v>
      </c>
      <c r="C201" s="386"/>
      <c r="D201" s="386"/>
      <c r="E201" s="35">
        <v>-8308.92</v>
      </c>
      <c r="F201" s="35">
        <v>0</v>
      </c>
      <c r="H201" s="35">
        <v>0</v>
      </c>
      <c r="J201" s="35">
        <v>-8308.92</v>
      </c>
    </row>
    <row r="202" spans="1:10" ht="15.95" hidden="1" customHeight="1" x14ac:dyDescent="0.2">
      <c r="A202" s="38" t="s">
        <v>369</v>
      </c>
      <c r="B202" s="385" t="s">
        <v>370</v>
      </c>
      <c r="C202" s="386"/>
      <c r="D202" s="386"/>
      <c r="E202" s="35">
        <v>-4233.8599999999997</v>
      </c>
      <c r="F202" s="35">
        <v>0</v>
      </c>
      <c r="H202" s="35">
        <v>0</v>
      </c>
      <c r="J202" s="35">
        <v>-4233.8599999999997</v>
      </c>
    </row>
    <row r="203" spans="1:10" ht="15.95" hidden="1" customHeight="1" x14ac:dyDescent="0.2">
      <c r="A203" s="38" t="s">
        <v>371</v>
      </c>
      <c r="B203" s="385" t="s">
        <v>372</v>
      </c>
      <c r="C203" s="386"/>
      <c r="D203" s="386"/>
      <c r="E203" s="35">
        <v>-2729.37</v>
      </c>
      <c r="F203" s="35">
        <v>0</v>
      </c>
      <c r="H203" s="35">
        <v>0</v>
      </c>
      <c r="J203" s="35">
        <v>-2729.37</v>
      </c>
    </row>
    <row r="204" spans="1:10" ht="15.95" hidden="1" customHeight="1" x14ac:dyDescent="0.2">
      <c r="A204" s="38" t="s">
        <v>373</v>
      </c>
      <c r="B204" s="385" t="s">
        <v>374</v>
      </c>
      <c r="C204" s="386"/>
      <c r="D204" s="386"/>
      <c r="E204" s="35">
        <v>-3898.61</v>
      </c>
      <c r="F204" s="35">
        <v>0</v>
      </c>
      <c r="H204" s="35">
        <v>1349888.48</v>
      </c>
      <c r="J204" s="35">
        <v>-1353787.09</v>
      </c>
    </row>
    <row r="205" spans="1:10" ht="15.95" hidden="1" customHeight="1" x14ac:dyDescent="0.2">
      <c r="A205" s="38" t="s">
        <v>375</v>
      </c>
      <c r="B205" s="385" t="s">
        <v>376</v>
      </c>
      <c r="C205" s="386"/>
      <c r="D205" s="386"/>
      <c r="E205" s="35">
        <v>-12754.35</v>
      </c>
      <c r="F205" s="35">
        <v>0</v>
      </c>
      <c r="H205" s="35">
        <v>0</v>
      </c>
      <c r="J205" s="35">
        <v>-12754.35</v>
      </c>
    </row>
    <row r="206" spans="1:10" ht="15.95" hidden="1" customHeight="1" x14ac:dyDescent="0.2">
      <c r="A206" s="38" t="s">
        <v>377</v>
      </c>
      <c r="B206" s="385" t="s">
        <v>378</v>
      </c>
      <c r="C206" s="386"/>
      <c r="D206" s="386"/>
      <c r="E206" s="35">
        <v>-1798587.79</v>
      </c>
      <c r="F206" s="35">
        <v>0</v>
      </c>
      <c r="H206" s="35">
        <v>0</v>
      </c>
      <c r="J206" s="35">
        <v>-1798587.79</v>
      </c>
    </row>
    <row r="207" spans="1:10" ht="15.95" hidden="1" customHeight="1" x14ac:dyDescent="0.2">
      <c r="A207" s="38" t="s">
        <v>379</v>
      </c>
      <c r="B207" s="385" t="s">
        <v>380</v>
      </c>
      <c r="C207" s="386"/>
      <c r="D207" s="386"/>
      <c r="E207" s="35">
        <v>-7928.64</v>
      </c>
      <c r="F207" s="35">
        <v>0</v>
      </c>
      <c r="H207" s="35">
        <v>0</v>
      </c>
      <c r="J207" s="35">
        <v>-7928.64</v>
      </c>
    </row>
    <row r="208" spans="1:10" ht="15.95" hidden="1" customHeight="1" x14ac:dyDescent="0.2">
      <c r="A208" s="38" t="s">
        <v>381</v>
      </c>
      <c r="B208" s="385" t="s">
        <v>382</v>
      </c>
      <c r="C208" s="386"/>
      <c r="D208" s="386"/>
      <c r="E208" s="35">
        <v>-265.91000000000003</v>
      </c>
      <c r="F208" s="35">
        <v>0</v>
      </c>
      <c r="H208" s="35">
        <v>0</v>
      </c>
      <c r="J208" s="35">
        <v>-265.91000000000003</v>
      </c>
    </row>
    <row r="209" spans="1:10" ht="15.95" hidden="1" customHeight="1" x14ac:dyDescent="0.2">
      <c r="A209" s="38" t="s">
        <v>383</v>
      </c>
      <c r="B209" s="385" t="s">
        <v>384</v>
      </c>
      <c r="C209" s="386"/>
      <c r="D209" s="386"/>
      <c r="E209" s="35">
        <v>-87964.72</v>
      </c>
      <c r="F209" s="35">
        <v>0</v>
      </c>
      <c r="H209" s="35">
        <v>0</v>
      </c>
      <c r="J209" s="35">
        <v>-87964.72</v>
      </c>
    </row>
    <row r="210" spans="1:10" ht="15.95" hidden="1" customHeight="1" x14ac:dyDescent="0.2">
      <c r="A210" s="38" t="s">
        <v>385</v>
      </c>
      <c r="B210" s="385" t="s">
        <v>386</v>
      </c>
      <c r="C210" s="386"/>
      <c r="D210" s="386"/>
      <c r="E210" s="35">
        <v>-86928.73</v>
      </c>
      <c r="F210" s="35">
        <v>0</v>
      </c>
      <c r="H210" s="35">
        <v>1221209.32</v>
      </c>
      <c r="J210" s="35">
        <v>-1308138.05</v>
      </c>
    </row>
    <row r="211" spans="1:10" ht="15.95" hidden="1" customHeight="1" x14ac:dyDescent="0.2">
      <c r="A211" s="38" t="s">
        <v>387</v>
      </c>
      <c r="B211" s="385" t="s">
        <v>388</v>
      </c>
      <c r="C211" s="386"/>
      <c r="D211" s="386"/>
      <c r="E211" s="35">
        <v>-5840.17</v>
      </c>
      <c r="F211" s="35">
        <v>0</v>
      </c>
      <c r="H211" s="35">
        <v>0</v>
      </c>
      <c r="J211" s="35">
        <v>-5840.17</v>
      </c>
    </row>
    <row r="212" spans="1:10" ht="15.95" hidden="1" customHeight="1" x14ac:dyDescent="0.2">
      <c r="A212" s="38" t="s">
        <v>389</v>
      </c>
      <c r="B212" s="385" t="s">
        <v>390</v>
      </c>
      <c r="C212" s="386"/>
      <c r="D212" s="386"/>
      <c r="E212" s="35">
        <v>-385902.97</v>
      </c>
      <c r="F212" s="35">
        <v>0</v>
      </c>
      <c r="H212" s="35">
        <v>0</v>
      </c>
      <c r="J212" s="35">
        <v>-385902.97</v>
      </c>
    </row>
    <row r="213" spans="1:10" ht="15.95" hidden="1" customHeight="1" x14ac:dyDescent="0.2">
      <c r="A213" s="38" t="s">
        <v>391</v>
      </c>
      <c r="B213" s="385" t="s">
        <v>392</v>
      </c>
      <c r="C213" s="386"/>
      <c r="D213" s="386"/>
      <c r="E213" s="35">
        <v>-17386.990000000002</v>
      </c>
      <c r="F213" s="35">
        <v>0</v>
      </c>
      <c r="H213" s="35">
        <v>0</v>
      </c>
      <c r="J213" s="35">
        <v>-17386.990000000002</v>
      </c>
    </row>
    <row r="214" spans="1:10" ht="15.95" hidden="1" customHeight="1" x14ac:dyDescent="0.2">
      <c r="A214" s="38" t="s">
        <v>393</v>
      </c>
      <c r="B214" s="385" t="s">
        <v>394</v>
      </c>
      <c r="C214" s="386"/>
      <c r="D214" s="386"/>
      <c r="E214" s="35">
        <v>-56188.26</v>
      </c>
      <c r="F214" s="35">
        <v>0</v>
      </c>
      <c r="H214" s="35">
        <v>0</v>
      </c>
      <c r="J214" s="35">
        <v>-56188.26</v>
      </c>
    </row>
    <row r="215" spans="1:10" ht="15.95" hidden="1" customHeight="1" x14ac:dyDescent="0.2">
      <c r="A215" s="38" t="s">
        <v>395</v>
      </c>
      <c r="B215" s="385" t="s">
        <v>396</v>
      </c>
      <c r="C215" s="386"/>
      <c r="D215" s="386"/>
      <c r="E215" s="35">
        <v>-29270.35</v>
      </c>
      <c r="F215" s="35">
        <v>0</v>
      </c>
      <c r="H215" s="35">
        <v>0</v>
      </c>
      <c r="J215" s="35">
        <v>-29270.35</v>
      </c>
    </row>
    <row r="216" spans="1:10" ht="15.95" hidden="1" customHeight="1" x14ac:dyDescent="0.2">
      <c r="A216" s="38" t="s">
        <v>397</v>
      </c>
      <c r="B216" s="385" t="s">
        <v>398</v>
      </c>
      <c r="C216" s="386"/>
      <c r="D216" s="386"/>
      <c r="E216" s="35">
        <v>-63153.62</v>
      </c>
      <c r="F216" s="35">
        <v>0</v>
      </c>
      <c r="H216" s="35">
        <v>169954.18</v>
      </c>
      <c r="J216" s="35">
        <v>-233107.8</v>
      </c>
    </row>
    <row r="217" spans="1:10" ht="15.95" hidden="1" customHeight="1" x14ac:dyDescent="0.2">
      <c r="A217" s="38">
        <v>12399</v>
      </c>
      <c r="B217" s="385" t="s">
        <v>399</v>
      </c>
      <c r="C217" s="386"/>
      <c r="D217" s="386"/>
      <c r="E217" s="35">
        <v>-80654700.329999998</v>
      </c>
      <c r="F217" s="35">
        <v>1498862.1</v>
      </c>
      <c r="H217" s="35">
        <v>7088277.5199999996</v>
      </c>
      <c r="J217" s="35">
        <v>-86244115.75</v>
      </c>
    </row>
    <row r="218" spans="1:10" ht="27.95" hidden="1" customHeight="1" x14ac:dyDescent="0.2">
      <c r="A218" s="38">
        <v>1239901</v>
      </c>
      <c r="B218" s="385" t="s">
        <v>400</v>
      </c>
      <c r="C218" s="386"/>
      <c r="D218" s="386"/>
      <c r="E218" s="35">
        <v>-5544334.4400000004</v>
      </c>
      <c r="F218" s="35">
        <v>0</v>
      </c>
      <c r="H218" s="35">
        <v>597331.81999999995</v>
      </c>
      <c r="J218" s="35">
        <v>-6141666.2599999998</v>
      </c>
    </row>
    <row r="219" spans="1:10" ht="15.95" hidden="1" customHeight="1" x14ac:dyDescent="0.2">
      <c r="A219" s="38" t="s">
        <v>401</v>
      </c>
      <c r="B219" s="385" t="s">
        <v>277</v>
      </c>
      <c r="C219" s="386"/>
      <c r="D219" s="386"/>
      <c r="E219" s="35">
        <v>-63204.99</v>
      </c>
      <c r="F219" s="35">
        <v>0</v>
      </c>
      <c r="H219" s="35">
        <v>277.2</v>
      </c>
      <c r="J219" s="35">
        <v>-63482.19</v>
      </c>
    </row>
    <row r="220" spans="1:10" ht="15.95" hidden="1" customHeight="1" x14ac:dyDescent="0.2">
      <c r="A220" s="38" t="s">
        <v>402</v>
      </c>
      <c r="B220" s="385" t="s">
        <v>279</v>
      </c>
      <c r="C220" s="386"/>
      <c r="D220" s="386"/>
      <c r="E220" s="35">
        <v>-12832.06</v>
      </c>
      <c r="F220" s="35">
        <v>0</v>
      </c>
      <c r="H220" s="35">
        <v>0</v>
      </c>
      <c r="J220" s="35">
        <v>-12832.06</v>
      </c>
    </row>
    <row r="221" spans="1:10" ht="15.95" hidden="1" customHeight="1" x14ac:dyDescent="0.2">
      <c r="A221" s="38" t="s">
        <v>403</v>
      </c>
      <c r="B221" s="385" t="s">
        <v>281</v>
      </c>
      <c r="C221" s="386"/>
      <c r="D221" s="386"/>
      <c r="E221" s="35">
        <v>-932954.94</v>
      </c>
      <c r="F221" s="35">
        <v>0</v>
      </c>
      <c r="H221" s="35">
        <v>58274.879999999997</v>
      </c>
      <c r="J221" s="35">
        <v>-991229.82</v>
      </c>
    </row>
    <row r="222" spans="1:10" ht="15.95" hidden="1" customHeight="1" x14ac:dyDescent="0.2">
      <c r="A222" s="38" t="s">
        <v>404</v>
      </c>
      <c r="B222" s="385" t="s">
        <v>283</v>
      </c>
      <c r="C222" s="386"/>
      <c r="D222" s="386"/>
      <c r="E222" s="35">
        <v>-2033449.65</v>
      </c>
      <c r="F222" s="35">
        <v>0</v>
      </c>
      <c r="H222" s="35">
        <v>484436.52</v>
      </c>
      <c r="J222" s="35">
        <v>-2517886.17</v>
      </c>
    </row>
    <row r="223" spans="1:10" ht="15.95" hidden="1" customHeight="1" x14ac:dyDescent="0.2">
      <c r="A223" s="38" t="s">
        <v>405</v>
      </c>
      <c r="B223" s="385" t="s">
        <v>285</v>
      </c>
      <c r="C223" s="386"/>
      <c r="D223" s="386"/>
      <c r="E223" s="35">
        <v>-600214.14</v>
      </c>
      <c r="F223" s="35">
        <v>0</v>
      </c>
      <c r="H223" s="35">
        <v>9829.2199999999993</v>
      </c>
      <c r="J223" s="35">
        <v>-610043.36</v>
      </c>
    </row>
    <row r="224" spans="1:10" ht="15.95" hidden="1" customHeight="1" x14ac:dyDescent="0.2">
      <c r="A224" s="38" t="s">
        <v>406</v>
      </c>
      <c r="B224" s="385" t="s">
        <v>289</v>
      </c>
      <c r="C224" s="386"/>
      <c r="D224" s="386"/>
      <c r="E224" s="35">
        <v>-1210095.1200000001</v>
      </c>
      <c r="F224" s="35">
        <v>0</v>
      </c>
      <c r="H224" s="35">
        <v>9568.3799999999992</v>
      </c>
      <c r="J224" s="35">
        <v>-1219663.5</v>
      </c>
    </row>
    <row r="225" spans="1:10" ht="15.95" hidden="1" customHeight="1" x14ac:dyDescent="0.2">
      <c r="A225" s="38" t="s">
        <v>407</v>
      </c>
      <c r="B225" s="385" t="s">
        <v>287</v>
      </c>
      <c r="C225" s="386"/>
      <c r="D225" s="386"/>
      <c r="E225" s="35">
        <v>-65426.16</v>
      </c>
      <c r="F225" s="35">
        <v>0</v>
      </c>
      <c r="H225" s="35">
        <v>5380.2</v>
      </c>
      <c r="J225" s="35">
        <v>-70806.36</v>
      </c>
    </row>
    <row r="226" spans="1:10" ht="15.95" hidden="1" customHeight="1" x14ac:dyDescent="0.2">
      <c r="A226" s="38" t="s">
        <v>408</v>
      </c>
      <c r="B226" s="385" t="s">
        <v>291</v>
      </c>
      <c r="C226" s="386"/>
      <c r="D226" s="386"/>
      <c r="E226" s="35">
        <v>-616628.28</v>
      </c>
      <c r="F226" s="35">
        <v>0</v>
      </c>
      <c r="H226" s="35">
        <v>28919.16</v>
      </c>
      <c r="J226" s="35">
        <v>-645547.43999999994</v>
      </c>
    </row>
    <row r="227" spans="1:10" ht="15.95" hidden="1" customHeight="1" x14ac:dyDescent="0.2">
      <c r="A227" s="38" t="s">
        <v>409</v>
      </c>
      <c r="B227" s="385" t="s">
        <v>410</v>
      </c>
      <c r="C227" s="386"/>
      <c r="D227" s="386"/>
      <c r="E227" s="35">
        <v>-9529.1</v>
      </c>
      <c r="F227" s="35">
        <v>0</v>
      </c>
      <c r="H227" s="35">
        <v>646.26</v>
      </c>
      <c r="J227" s="35">
        <v>-10175.36</v>
      </c>
    </row>
    <row r="228" spans="1:10" ht="15.95" hidden="1" customHeight="1" x14ac:dyDescent="0.2">
      <c r="A228" s="38">
        <v>1239902</v>
      </c>
      <c r="B228" s="385" t="s">
        <v>412</v>
      </c>
      <c r="C228" s="386"/>
      <c r="D228" s="386"/>
      <c r="E228" s="35">
        <v>-60198719.740000002</v>
      </c>
      <c r="F228" s="35">
        <v>1113623.3999999999</v>
      </c>
      <c r="H228" s="35">
        <v>1527281.66</v>
      </c>
      <c r="J228" s="35">
        <v>-60612378</v>
      </c>
    </row>
    <row r="229" spans="1:10" ht="15.95" hidden="1" customHeight="1" x14ac:dyDescent="0.2">
      <c r="A229" s="38" t="s">
        <v>413</v>
      </c>
      <c r="B229" s="385" t="s">
        <v>300</v>
      </c>
      <c r="C229" s="386"/>
      <c r="D229" s="386"/>
      <c r="E229" s="35">
        <v>-6578848.4299999997</v>
      </c>
      <c r="F229" s="35">
        <v>207691.87</v>
      </c>
      <c r="H229" s="35">
        <v>241356.35</v>
      </c>
      <c r="J229" s="35">
        <v>-6612512.9100000001</v>
      </c>
    </row>
    <row r="230" spans="1:10" ht="15.95" hidden="1" customHeight="1" x14ac:dyDescent="0.2">
      <c r="A230" s="38" t="s">
        <v>414</v>
      </c>
      <c r="B230" s="385" t="s">
        <v>302</v>
      </c>
      <c r="C230" s="386"/>
      <c r="D230" s="386"/>
      <c r="E230" s="35">
        <v>-4450.58</v>
      </c>
      <c r="F230" s="35">
        <v>0</v>
      </c>
      <c r="H230" s="35">
        <v>0</v>
      </c>
      <c r="J230" s="35">
        <v>-4450.58</v>
      </c>
    </row>
    <row r="231" spans="1:10" ht="15.95" hidden="1" customHeight="1" x14ac:dyDescent="0.2">
      <c r="A231" s="38" t="s">
        <v>415</v>
      </c>
      <c r="B231" s="385" t="s">
        <v>304</v>
      </c>
      <c r="C231" s="386"/>
      <c r="D231" s="386"/>
      <c r="E231" s="35">
        <v>-1300291.02</v>
      </c>
      <c r="F231" s="35">
        <v>905931.53</v>
      </c>
      <c r="H231" s="35">
        <v>100345.25</v>
      </c>
      <c r="J231" s="35">
        <v>-494704.74</v>
      </c>
    </row>
    <row r="232" spans="1:10" ht="15.95" hidden="1" customHeight="1" x14ac:dyDescent="0.2">
      <c r="A232" s="38" t="s">
        <v>416</v>
      </c>
      <c r="B232" s="385" t="s">
        <v>306</v>
      </c>
      <c r="C232" s="386"/>
      <c r="D232" s="386"/>
      <c r="E232" s="35">
        <v>-33066566.010000002</v>
      </c>
      <c r="F232" s="35">
        <v>0</v>
      </c>
      <c r="H232" s="35">
        <v>747210.81</v>
      </c>
      <c r="J232" s="35">
        <v>-33813776.82</v>
      </c>
    </row>
    <row r="233" spans="1:10" ht="15.95" hidden="1" customHeight="1" x14ac:dyDescent="0.2">
      <c r="A233" s="38" t="s">
        <v>417</v>
      </c>
      <c r="B233" s="385" t="s">
        <v>308</v>
      </c>
      <c r="C233" s="386"/>
      <c r="D233" s="386"/>
      <c r="E233" s="35">
        <v>-9551045.0299999993</v>
      </c>
      <c r="F233" s="35">
        <v>0</v>
      </c>
      <c r="H233" s="35">
        <v>57503.14</v>
      </c>
      <c r="J233" s="35">
        <v>-9608548.1699999999</v>
      </c>
    </row>
    <row r="234" spans="1:10" ht="15.95" hidden="1" customHeight="1" x14ac:dyDescent="0.2">
      <c r="A234" s="38" t="s">
        <v>418</v>
      </c>
      <c r="B234" s="385" t="s">
        <v>310</v>
      </c>
      <c r="C234" s="386"/>
      <c r="D234" s="386"/>
      <c r="E234" s="35">
        <v>-440226.98</v>
      </c>
      <c r="F234" s="35">
        <v>0</v>
      </c>
      <c r="H234" s="35">
        <v>11365.8</v>
      </c>
      <c r="J234" s="35">
        <v>-451592.78</v>
      </c>
    </row>
    <row r="235" spans="1:10" ht="15.95" hidden="1" customHeight="1" x14ac:dyDescent="0.2">
      <c r="A235" s="38" t="s">
        <v>419</v>
      </c>
      <c r="B235" s="385" t="s">
        <v>312</v>
      </c>
      <c r="C235" s="386"/>
      <c r="D235" s="386"/>
      <c r="E235" s="35">
        <v>-95202.46</v>
      </c>
      <c r="F235" s="35">
        <v>0</v>
      </c>
      <c r="H235" s="35">
        <v>0</v>
      </c>
      <c r="J235" s="35">
        <v>-95202.46</v>
      </c>
    </row>
    <row r="236" spans="1:10" ht="15.95" hidden="1" customHeight="1" x14ac:dyDescent="0.2">
      <c r="A236" s="38" t="s">
        <v>420</v>
      </c>
      <c r="B236" s="385" t="s">
        <v>316</v>
      </c>
      <c r="C236" s="386"/>
      <c r="D236" s="386"/>
      <c r="E236" s="35">
        <v>-5355122.28</v>
      </c>
      <c r="F236" s="35">
        <v>0</v>
      </c>
      <c r="H236" s="35">
        <v>209742.84</v>
      </c>
      <c r="J236" s="35">
        <v>-5564865.1200000001</v>
      </c>
    </row>
    <row r="237" spans="1:10" ht="15.95" hidden="1" customHeight="1" x14ac:dyDescent="0.2">
      <c r="A237" s="38" t="s">
        <v>421</v>
      </c>
      <c r="B237" s="385" t="s">
        <v>318</v>
      </c>
      <c r="C237" s="386"/>
      <c r="D237" s="386"/>
      <c r="E237" s="35">
        <v>-905338.24</v>
      </c>
      <c r="F237" s="35">
        <v>0</v>
      </c>
      <c r="H237" s="35">
        <v>0</v>
      </c>
      <c r="J237" s="35">
        <v>-905338.24</v>
      </c>
    </row>
    <row r="238" spans="1:10" ht="15.95" hidden="1" customHeight="1" x14ac:dyDescent="0.2">
      <c r="A238" s="38" t="s">
        <v>422</v>
      </c>
      <c r="B238" s="385" t="s">
        <v>320</v>
      </c>
      <c r="C238" s="386"/>
      <c r="D238" s="386"/>
      <c r="E238" s="35">
        <v>-350775.54</v>
      </c>
      <c r="F238" s="35">
        <v>0</v>
      </c>
      <c r="H238" s="35">
        <v>24212.91</v>
      </c>
      <c r="J238" s="35">
        <v>-374988.45</v>
      </c>
    </row>
    <row r="239" spans="1:10" ht="15.95" hidden="1" customHeight="1" x14ac:dyDescent="0.2">
      <c r="A239" s="38" t="s">
        <v>423</v>
      </c>
      <c r="B239" s="385" t="s">
        <v>322</v>
      </c>
      <c r="C239" s="386"/>
      <c r="D239" s="386"/>
      <c r="E239" s="35">
        <v>-123943.43</v>
      </c>
      <c r="F239" s="35">
        <v>0</v>
      </c>
      <c r="H239" s="35">
        <v>0</v>
      </c>
      <c r="J239" s="35">
        <v>-123943.43</v>
      </c>
    </row>
    <row r="240" spans="1:10" ht="15.95" hidden="1" customHeight="1" x14ac:dyDescent="0.2">
      <c r="A240" s="38" t="s">
        <v>424</v>
      </c>
      <c r="B240" s="385" t="s">
        <v>425</v>
      </c>
      <c r="C240" s="386"/>
      <c r="D240" s="386"/>
      <c r="E240" s="35">
        <v>-13925.73</v>
      </c>
      <c r="F240" s="35">
        <v>0</v>
      </c>
      <c r="H240" s="35">
        <v>0</v>
      </c>
      <c r="J240" s="35">
        <v>-13925.73</v>
      </c>
    </row>
    <row r="241" spans="1:10" ht="15.95" hidden="1" customHeight="1" x14ac:dyDescent="0.2">
      <c r="A241" s="38" t="s">
        <v>426</v>
      </c>
      <c r="B241" s="385" t="s">
        <v>427</v>
      </c>
      <c r="C241" s="386"/>
      <c r="D241" s="386"/>
      <c r="E241" s="35">
        <v>-1970.82</v>
      </c>
      <c r="F241" s="35">
        <v>0</v>
      </c>
      <c r="H241" s="35">
        <v>0</v>
      </c>
      <c r="J241" s="35">
        <v>-1970.82</v>
      </c>
    </row>
    <row r="242" spans="1:10" ht="15.95" hidden="1" customHeight="1" x14ac:dyDescent="0.2">
      <c r="A242" s="38" t="s">
        <v>428</v>
      </c>
      <c r="B242" s="385" t="s">
        <v>429</v>
      </c>
      <c r="C242" s="386"/>
      <c r="D242" s="386"/>
      <c r="E242" s="35">
        <v>-421500.65</v>
      </c>
      <c r="F242" s="35">
        <v>0</v>
      </c>
      <c r="H242" s="35">
        <v>21035.040000000001</v>
      </c>
      <c r="J242" s="35">
        <v>-442535.69</v>
      </c>
    </row>
    <row r="243" spans="1:10" ht="15.95" hidden="1" customHeight="1" x14ac:dyDescent="0.2">
      <c r="A243" s="38" t="s">
        <v>430</v>
      </c>
      <c r="B243" s="385" t="s">
        <v>431</v>
      </c>
      <c r="C243" s="386"/>
      <c r="D243" s="386"/>
      <c r="E243" s="35">
        <v>-1103943.46</v>
      </c>
      <c r="F243" s="35">
        <v>0</v>
      </c>
      <c r="H243" s="35">
        <v>18544.919999999998</v>
      </c>
      <c r="J243" s="35">
        <v>-1122488.3799999999</v>
      </c>
    </row>
    <row r="244" spans="1:10" ht="15.95" hidden="1" customHeight="1" x14ac:dyDescent="0.2">
      <c r="A244" s="38" t="s">
        <v>432</v>
      </c>
      <c r="B244" s="385" t="s">
        <v>336</v>
      </c>
      <c r="C244" s="386"/>
      <c r="D244" s="386"/>
      <c r="E244" s="35">
        <v>-885569.08</v>
      </c>
      <c r="F244" s="35">
        <v>0</v>
      </c>
      <c r="H244" s="35">
        <v>78195.149999999994</v>
      </c>
      <c r="J244" s="35">
        <v>-963764.23</v>
      </c>
    </row>
    <row r="245" spans="1:10" ht="15.95" hidden="1" customHeight="1" x14ac:dyDescent="0.2">
      <c r="A245" s="38" t="s">
        <v>433</v>
      </c>
      <c r="B245" s="385" t="s">
        <v>338</v>
      </c>
      <c r="C245" s="386"/>
      <c r="D245" s="386"/>
      <c r="E245" s="35">
        <v>0</v>
      </c>
      <c r="F245" s="35">
        <v>0</v>
      </c>
      <c r="H245" s="35">
        <v>17769.45</v>
      </c>
      <c r="J245" s="35">
        <v>-17769.45</v>
      </c>
    </row>
    <row r="246" spans="1:10" ht="15.95" hidden="1" customHeight="1" x14ac:dyDescent="0.2">
      <c r="A246" s="38">
        <v>1239903</v>
      </c>
      <c r="B246" s="385" t="s">
        <v>434</v>
      </c>
      <c r="C246" s="386"/>
      <c r="D246" s="386"/>
      <c r="E246" s="35">
        <v>5763425.5899999999</v>
      </c>
      <c r="F246" s="35">
        <v>385238.7</v>
      </c>
      <c r="H246" s="35">
        <v>0</v>
      </c>
      <c r="J246" s="35">
        <v>6148664.29</v>
      </c>
    </row>
    <row r="247" spans="1:10" ht="15.95" hidden="1" customHeight="1" x14ac:dyDescent="0.2">
      <c r="A247" s="38" t="s">
        <v>435</v>
      </c>
      <c r="B247" s="385" t="s">
        <v>300</v>
      </c>
      <c r="C247" s="386"/>
      <c r="D247" s="386"/>
      <c r="E247" s="35">
        <v>1371149.47</v>
      </c>
      <c r="F247" s="35">
        <v>117122.69</v>
      </c>
      <c r="H247" s="35">
        <v>0</v>
      </c>
      <c r="J247" s="35">
        <v>1488272.16</v>
      </c>
    </row>
    <row r="248" spans="1:10" ht="15.95" hidden="1" customHeight="1" x14ac:dyDescent="0.2">
      <c r="A248" s="38" t="s">
        <v>436</v>
      </c>
      <c r="B248" s="385" t="s">
        <v>304</v>
      </c>
      <c r="C248" s="386"/>
      <c r="D248" s="386"/>
      <c r="E248" s="35">
        <v>107014.75</v>
      </c>
      <c r="F248" s="35">
        <v>18850.75</v>
      </c>
      <c r="H248" s="35">
        <v>0</v>
      </c>
      <c r="J248" s="35">
        <v>125865.5</v>
      </c>
    </row>
    <row r="249" spans="1:10" ht="15.95" hidden="1" customHeight="1" x14ac:dyDescent="0.2">
      <c r="A249" s="38" t="s">
        <v>437</v>
      </c>
      <c r="B249" s="385" t="s">
        <v>306</v>
      </c>
      <c r="C249" s="386"/>
      <c r="D249" s="386"/>
      <c r="E249" s="35">
        <v>4269610.88</v>
      </c>
      <c r="F249" s="35">
        <v>249265.26</v>
      </c>
      <c r="H249" s="35">
        <v>0</v>
      </c>
      <c r="J249" s="35">
        <v>4518876.1399999997</v>
      </c>
    </row>
    <row r="250" spans="1:10" ht="15.95" hidden="1" customHeight="1" x14ac:dyDescent="0.2">
      <c r="A250" s="38" t="s">
        <v>438</v>
      </c>
      <c r="B250" s="385" t="s">
        <v>318</v>
      </c>
      <c r="C250" s="386"/>
      <c r="D250" s="386"/>
      <c r="E250" s="35">
        <v>15650.49</v>
      </c>
      <c r="F250" s="35">
        <v>0</v>
      </c>
      <c r="H250" s="35">
        <v>0</v>
      </c>
      <c r="J250" s="35">
        <v>15650.49</v>
      </c>
    </row>
    <row r="251" spans="1:10" ht="15.95" hidden="1" customHeight="1" x14ac:dyDescent="0.2">
      <c r="A251" s="38">
        <v>1239904</v>
      </c>
      <c r="B251" s="385" t="s">
        <v>439</v>
      </c>
      <c r="C251" s="386"/>
      <c r="D251" s="386"/>
      <c r="E251" s="35">
        <v>-20675071.739999998</v>
      </c>
      <c r="F251" s="35">
        <v>0</v>
      </c>
      <c r="H251" s="35">
        <v>4963664.04</v>
      </c>
      <c r="J251" s="35">
        <v>-25638735.780000001</v>
      </c>
    </row>
    <row r="252" spans="1:10" ht="15.95" hidden="1" customHeight="1" x14ac:dyDescent="0.2">
      <c r="A252" s="38" t="s">
        <v>440</v>
      </c>
      <c r="B252" s="385" t="s">
        <v>441</v>
      </c>
      <c r="C252" s="386"/>
      <c r="D252" s="386"/>
      <c r="E252" s="35">
        <v>-19324779.989999998</v>
      </c>
      <c r="F252" s="35">
        <v>0</v>
      </c>
      <c r="H252" s="35">
        <v>4639594.0199999996</v>
      </c>
      <c r="J252" s="35">
        <v>-23964374.010000002</v>
      </c>
    </row>
    <row r="253" spans="1:10" ht="15.95" hidden="1" customHeight="1" x14ac:dyDescent="0.2">
      <c r="A253" s="38" t="s">
        <v>442</v>
      </c>
      <c r="B253" s="385" t="s">
        <v>443</v>
      </c>
      <c r="C253" s="386"/>
      <c r="D253" s="386"/>
      <c r="E253" s="35">
        <v>-227912.5</v>
      </c>
      <c r="F253" s="35">
        <v>0</v>
      </c>
      <c r="H253" s="35">
        <v>54699</v>
      </c>
      <c r="J253" s="35">
        <v>-282611.5</v>
      </c>
    </row>
    <row r="254" spans="1:10" ht="15.95" hidden="1" customHeight="1" x14ac:dyDescent="0.2">
      <c r="A254" s="38" t="s">
        <v>444</v>
      </c>
      <c r="B254" s="385" t="s">
        <v>355</v>
      </c>
      <c r="C254" s="386"/>
      <c r="D254" s="386"/>
      <c r="E254" s="35">
        <v>-736053.25</v>
      </c>
      <c r="F254" s="35">
        <v>0</v>
      </c>
      <c r="H254" s="35">
        <v>176652.78</v>
      </c>
      <c r="J254" s="35">
        <v>-912706.03</v>
      </c>
    </row>
    <row r="255" spans="1:10" ht="15.95" hidden="1" customHeight="1" x14ac:dyDescent="0.2">
      <c r="A255" s="38" t="s">
        <v>445</v>
      </c>
      <c r="B255" s="385" t="s">
        <v>357</v>
      </c>
      <c r="C255" s="386"/>
      <c r="D255" s="386"/>
      <c r="E255" s="35">
        <v>-2787.5</v>
      </c>
      <c r="F255" s="35">
        <v>0</v>
      </c>
      <c r="H255" s="35">
        <v>669</v>
      </c>
      <c r="J255" s="35">
        <v>-3456.5</v>
      </c>
    </row>
    <row r="256" spans="1:10" ht="15.95" hidden="1" customHeight="1" x14ac:dyDescent="0.2">
      <c r="A256" s="38" t="s">
        <v>446</v>
      </c>
      <c r="B256" s="385" t="s">
        <v>447</v>
      </c>
      <c r="C256" s="386"/>
      <c r="D256" s="386"/>
      <c r="E256" s="35">
        <v>-383538.5</v>
      </c>
      <c r="F256" s="35">
        <v>0</v>
      </c>
      <c r="H256" s="35">
        <v>92049.24</v>
      </c>
      <c r="J256" s="35">
        <v>-475587.74</v>
      </c>
    </row>
    <row r="257" spans="1:10" ht="15.95" hidden="1" customHeight="1" x14ac:dyDescent="0.2">
      <c r="A257" s="38">
        <v>124</v>
      </c>
      <c r="B257" s="385" t="s">
        <v>448</v>
      </c>
      <c r="C257" s="386"/>
      <c r="D257" s="386"/>
      <c r="E257" s="35">
        <v>2190000</v>
      </c>
      <c r="F257" s="35">
        <v>0</v>
      </c>
      <c r="H257" s="35">
        <v>628297.85</v>
      </c>
      <c r="J257" s="35">
        <v>1561702.15</v>
      </c>
    </row>
    <row r="258" spans="1:10" ht="15.95" hidden="1" customHeight="1" x14ac:dyDescent="0.2">
      <c r="A258" s="38">
        <v>12401</v>
      </c>
      <c r="B258" s="385" t="s">
        <v>448</v>
      </c>
      <c r="C258" s="386"/>
      <c r="D258" s="386"/>
      <c r="E258" s="35">
        <v>7519654.9800000004</v>
      </c>
      <c r="F258" s="35">
        <v>0</v>
      </c>
      <c r="H258" s="35">
        <v>0</v>
      </c>
      <c r="J258" s="35">
        <v>7519654.9800000004</v>
      </c>
    </row>
    <row r="259" spans="1:10" ht="15.95" hidden="1" customHeight="1" x14ac:dyDescent="0.2">
      <c r="A259" s="38">
        <v>1240101</v>
      </c>
      <c r="B259" s="385" t="s">
        <v>448</v>
      </c>
      <c r="C259" s="386"/>
      <c r="D259" s="386"/>
      <c r="E259" s="35">
        <v>7519654.9800000004</v>
      </c>
      <c r="F259" s="35">
        <v>0</v>
      </c>
      <c r="H259" s="35">
        <v>0</v>
      </c>
      <c r="J259" s="35">
        <v>7519654.9800000004</v>
      </c>
    </row>
    <row r="260" spans="1:10" ht="15.95" hidden="1" customHeight="1" x14ac:dyDescent="0.2">
      <c r="A260" s="38" t="s">
        <v>449</v>
      </c>
      <c r="B260" s="385" t="s">
        <v>450</v>
      </c>
      <c r="C260" s="386"/>
      <c r="D260" s="386"/>
      <c r="E260" s="35">
        <v>7519654.9800000004</v>
      </c>
      <c r="F260" s="35">
        <v>0</v>
      </c>
      <c r="H260" s="35">
        <v>0</v>
      </c>
      <c r="J260" s="35">
        <v>7519654.9800000004</v>
      </c>
    </row>
    <row r="261" spans="1:10" ht="15.95" hidden="1" customHeight="1" x14ac:dyDescent="0.2">
      <c r="A261" s="38">
        <v>12499</v>
      </c>
      <c r="B261" s="385" t="s">
        <v>451</v>
      </c>
      <c r="C261" s="386"/>
      <c r="D261" s="386"/>
      <c r="E261" s="35">
        <v>-5329654.9800000004</v>
      </c>
      <c r="F261" s="35">
        <v>0</v>
      </c>
      <c r="H261" s="35">
        <v>628297.85</v>
      </c>
      <c r="J261" s="35">
        <v>-5957952.8300000001</v>
      </c>
    </row>
    <row r="262" spans="1:10" ht="15.95" hidden="1" customHeight="1" x14ac:dyDescent="0.2">
      <c r="A262" s="38">
        <v>1249901</v>
      </c>
      <c r="B262" s="385" t="s">
        <v>451</v>
      </c>
      <c r="C262" s="386"/>
      <c r="D262" s="386"/>
      <c r="E262" s="35">
        <v>-5328125.7</v>
      </c>
      <c r="F262" s="35">
        <v>0</v>
      </c>
      <c r="H262" s="35">
        <v>628297.85</v>
      </c>
      <c r="J262" s="35">
        <v>-5956423.5499999998</v>
      </c>
    </row>
    <row r="263" spans="1:10" ht="15.95" hidden="1" customHeight="1" x14ac:dyDescent="0.2">
      <c r="A263" s="38" t="s">
        <v>452</v>
      </c>
      <c r="B263" s="385" t="s">
        <v>450</v>
      </c>
      <c r="C263" s="386"/>
      <c r="D263" s="386"/>
      <c r="E263" s="35">
        <v>-5328125.7</v>
      </c>
      <c r="F263" s="35">
        <v>0</v>
      </c>
      <c r="H263" s="35">
        <v>628297.85</v>
      </c>
      <c r="J263" s="35">
        <v>-5956423.5499999998</v>
      </c>
    </row>
    <row r="264" spans="1:10" ht="15.95" hidden="1" customHeight="1" x14ac:dyDescent="0.2">
      <c r="A264" s="38">
        <v>1249902</v>
      </c>
      <c r="B264" s="385" t="s">
        <v>453</v>
      </c>
      <c r="C264" s="386"/>
      <c r="D264" s="386"/>
      <c r="E264" s="35">
        <v>-1529.28</v>
      </c>
      <c r="F264" s="35">
        <v>0</v>
      </c>
      <c r="H264" s="35">
        <v>0</v>
      </c>
      <c r="J264" s="35">
        <v>-1529.28</v>
      </c>
    </row>
    <row r="265" spans="1:10" ht="15.95" hidden="1" customHeight="1" x14ac:dyDescent="0.2">
      <c r="A265" s="38" t="s">
        <v>454</v>
      </c>
      <c r="B265" s="385" t="s">
        <v>453</v>
      </c>
      <c r="C265" s="386"/>
      <c r="D265" s="386"/>
      <c r="E265" s="35">
        <v>-1529.28</v>
      </c>
      <c r="F265" s="35">
        <v>0</v>
      </c>
      <c r="H265" s="35">
        <v>0</v>
      </c>
      <c r="J265" s="35">
        <v>-1529.28</v>
      </c>
    </row>
    <row r="266" spans="1:10" ht="15.95" hidden="1" customHeight="1" x14ac:dyDescent="0.2">
      <c r="A266" s="38">
        <v>13</v>
      </c>
      <c r="B266" s="385" t="s">
        <v>455</v>
      </c>
      <c r="C266" s="386"/>
      <c r="D266" s="386"/>
      <c r="E266" s="35">
        <v>1236717.49</v>
      </c>
      <c r="F266" s="35">
        <v>0</v>
      </c>
      <c r="H266" s="35">
        <v>0</v>
      </c>
      <c r="J266" s="35">
        <v>1236717.49</v>
      </c>
    </row>
    <row r="267" spans="1:10" ht="15.95" hidden="1" customHeight="1" x14ac:dyDescent="0.2">
      <c r="A267" s="38">
        <v>131</v>
      </c>
      <c r="B267" s="385" t="s">
        <v>456</v>
      </c>
      <c r="C267" s="386"/>
      <c r="D267" s="386"/>
      <c r="E267" s="35">
        <v>1236717.49</v>
      </c>
      <c r="F267" s="35">
        <v>0</v>
      </c>
      <c r="H267" s="35">
        <v>0</v>
      </c>
      <c r="J267" s="35">
        <v>1236717.49</v>
      </c>
    </row>
    <row r="268" spans="1:10" ht="15.95" hidden="1" customHeight="1" x14ac:dyDescent="0.2">
      <c r="A268" s="38">
        <v>13101</v>
      </c>
      <c r="B268" s="385" t="s">
        <v>344</v>
      </c>
      <c r="C268" s="386"/>
      <c r="D268" s="386"/>
      <c r="E268" s="35">
        <v>1236717.49</v>
      </c>
      <c r="F268" s="35">
        <v>0</v>
      </c>
      <c r="H268" s="35">
        <v>0</v>
      </c>
      <c r="J268" s="35">
        <v>1236717.49</v>
      </c>
    </row>
    <row r="269" spans="1:10" ht="15.95" hidden="1" customHeight="1" x14ac:dyDescent="0.2">
      <c r="A269" s="38">
        <v>1310101</v>
      </c>
      <c r="B269" s="385" t="s">
        <v>457</v>
      </c>
      <c r="C269" s="386"/>
      <c r="D269" s="386"/>
      <c r="E269" s="35">
        <v>1236717.49</v>
      </c>
      <c r="F269" s="35">
        <v>0</v>
      </c>
      <c r="H269" s="35">
        <v>0</v>
      </c>
      <c r="J269" s="35">
        <v>1236717.49</v>
      </c>
    </row>
    <row r="270" spans="1:10" ht="15.95" hidden="1" customHeight="1" x14ac:dyDescent="0.2">
      <c r="A270" s="38" t="s">
        <v>458</v>
      </c>
      <c r="B270" s="385" t="s">
        <v>459</v>
      </c>
      <c r="C270" s="386"/>
      <c r="D270" s="386"/>
      <c r="E270" s="35">
        <v>1236717.49</v>
      </c>
      <c r="F270" s="35">
        <v>0</v>
      </c>
      <c r="H270" s="35">
        <v>0</v>
      </c>
      <c r="J270" s="35">
        <v>1236717.49</v>
      </c>
    </row>
    <row r="271" spans="1:10" ht="15.95" hidden="1" customHeight="1" x14ac:dyDescent="0.2">
      <c r="A271" s="38">
        <v>2</v>
      </c>
      <c r="B271" s="385" t="s">
        <v>460</v>
      </c>
      <c r="C271" s="386"/>
      <c r="D271" s="386"/>
      <c r="E271" s="35">
        <v>-337159374.25999999</v>
      </c>
      <c r="F271" s="35">
        <v>114501945.2</v>
      </c>
      <c r="H271" s="35">
        <v>98154346.409999996</v>
      </c>
      <c r="J271" s="35">
        <v>-320811775.47000003</v>
      </c>
    </row>
    <row r="272" spans="1:10" ht="27.95" hidden="1" customHeight="1" x14ac:dyDescent="0.2">
      <c r="A272" s="38">
        <v>21</v>
      </c>
      <c r="B272" s="385" t="s">
        <v>461</v>
      </c>
      <c r="C272" s="386"/>
      <c r="D272" s="386"/>
      <c r="E272" s="35">
        <v>-16440110.85</v>
      </c>
      <c r="F272" s="35">
        <v>38293689.079999998</v>
      </c>
      <c r="H272" s="35">
        <v>36883174.210000001</v>
      </c>
      <c r="J272" s="35">
        <v>-15029595.98</v>
      </c>
    </row>
    <row r="273" spans="1:10" ht="15.95" hidden="1" customHeight="1" x14ac:dyDescent="0.2">
      <c r="A273" s="38">
        <v>211</v>
      </c>
      <c r="B273" s="385" t="s">
        <v>462</v>
      </c>
      <c r="C273" s="386"/>
      <c r="D273" s="386"/>
      <c r="E273" s="35">
        <v>-3566348.28</v>
      </c>
      <c r="F273" s="35">
        <v>15432479.27</v>
      </c>
      <c r="H273" s="35">
        <v>14408342.25</v>
      </c>
      <c r="J273" s="35">
        <v>-2542211.2599999998</v>
      </c>
    </row>
    <row r="274" spans="1:10" ht="15.95" hidden="1" customHeight="1" x14ac:dyDescent="0.2">
      <c r="A274" s="38">
        <v>21101</v>
      </c>
      <c r="B274" s="385" t="s">
        <v>462</v>
      </c>
      <c r="C274" s="386"/>
      <c r="D274" s="386"/>
      <c r="E274" s="35">
        <v>-3566348.28</v>
      </c>
      <c r="F274" s="35">
        <v>15432479.27</v>
      </c>
      <c r="H274" s="35">
        <v>14408342.25</v>
      </c>
      <c r="J274" s="35">
        <v>-2542211.2599999998</v>
      </c>
    </row>
    <row r="275" spans="1:10" ht="15.95" hidden="1" customHeight="1" x14ac:dyDescent="0.2">
      <c r="A275" s="38">
        <v>2110101</v>
      </c>
      <c r="B275" s="385" t="s">
        <v>463</v>
      </c>
      <c r="C275" s="386"/>
      <c r="D275" s="386"/>
      <c r="E275" s="35">
        <v>-3161666.4</v>
      </c>
      <c r="F275" s="35">
        <v>13328296.710000001</v>
      </c>
      <c r="H275" s="35">
        <v>12327907.789999999</v>
      </c>
      <c r="J275" s="35">
        <v>-2161277.48</v>
      </c>
    </row>
    <row r="276" spans="1:10" ht="15.95" hidden="1" customHeight="1" x14ac:dyDescent="0.2">
      <c r="A276" s="38" t="s">
        <v>464</v>
      </c>
      <c r="B276" s="385" t="s">
        <v>465</v>
      </c>
      <c r="C276" s="386"/>
      <c r="D276" s="386"/>
      <c r="E276" s="35">
        <v>-72694.399999999994</v>
      </c>
      <c r="F276" s="35">
        <v>352399.32</v>
      </c>
      <c r="H276" s="35">
        <v>451149.24</v>
      </c>
      <c r="J276" s="35">
        <v>-171444.32</v>
      </c>
    </row>
    <row r="277" spans="1:10" ht="15.95" hidden="1" customHeight="1" x14ac:dyDescent="0.2">
      <c r="A277" s="38" t="s">
        <v>466</v>
      </c>
      <c r="B277" s="385" t="s">
        <v>467</v>
      </c>
      <c r="C277" s="386"/>
      <c r="D277" s="386"/>
      <c r="E277" s="35">
        <v>-1008457.32</v>
      </c>
      <c r="F277" s="35">
        <v>2769448.17</v>
      </c>
      <c r="H277" s="35">
        <v>2026460.95</v>
      </c>
      <c r="J277" s="35">
        <v>-265470.09999999998</v>
      </c>
    </row>
    <row r="278" spans="1:10" ht="15.95" hidden="1" customHeight="1" x14ac:dyDescent="0.2">
      <c r="A278" s="38" t="s">
        <v>468</v>
      </c>
      <c r="B278" s="385" t="s">
        <v>469</v>
      </c>
      <c r="C278" s="386"/>
      <c r="D278" s="386"/>
      <c r="E278" s="35">
        <v>-4246.2700000000004</v>
      </c>
      <c r="F278" s="35">
        <v>13405.49</v>
      </c>
      <c r="H278" s="35">
        <v>10908.61</v>
      </c>
      <c r="J278" s="35">
        <v>-1749.39</v>
      </c>
    </row>
    <row r="279" spans="1:10" ht="15.95" hidden="1" customHeight="1" x14ac:dyDescent="0.2">
      <c r="A279" s="38" t="s">
        <v>470</v>
      </c>
      <c r="B279" s="385" t="s">
        <v>471</v>
      </c>
      <c r="C279" s="386"/>
      <c r="D279" s="386"/>
      <c r="E279" s="35">
        <v>-6464.94</v>
      </c>
      <c r="F279" s="35">
        <v>86752.09</v>
      </c>
      <c r="H279" s="35">
        <v>80287.149999999994</v>
      </c>
      <c r="J279" s="35">
        <v>0</v>
      </c>
    </row>
    <row r="280" spans="1:10" ht="15.95" hidden="1" customHeight="1" x14ac:dyDescent="0.2">
      <c r="A280" s="38" t="s">
        <v>1487</v>
      </c>
      <c r="B280" s="385" t="s">
        <v>1488</v>
      </c>
      <c r="C280" s="386"/>
      <c r="D280" s="386"/>
      <c r="E280" s="35">
        <v>-82859.820000000007</v>
      </c>
      <c r="F280" s="35">
        <v>172259.82</v>
      </c>
      <c r="H280" s="35">
        <v>89400</v>
      </c>
      <c r="J280" s="35">
        <v>0</v>
      </c>
    </row>
    <row r="281" spans="1:10" ht="15.95" hidden="1" customHeight="1" x14ac:dyDescent="0.2">
      <c r="A281" s="38" t="s">
        <v>472</v>
      </c>
      <c r="B281" s="385" t="s">
        <v>473</v>
      </c>
      <c r="C281" s="386"/>
      <c r="D281" s="386"/>
      <c r="E281" s="35">
        <v>0</v>
      </c>
      <c r="F281" s="35">
        <v>34105.279999999999</v>
      </c>
      <c r="H281" s="35">
        <v>36562.11</v>
      </c>
      <c r="J281" s="35">
        <v>-2456.83</v>
      </c>
    </row>
    <row r="282" spans="1:10" ht="15.95" hidden="1" customHeight="1" x14ac:dyDescent="0.2">
      <c r="A282" s="38" t="s">
        <v>474</v>
      </c>
      <c r="B282" s="385" t="s">
        <v>475</v>
      </c>
      <c r="C282" s="386"/>
      <c r="D282" s="386"/>
      <c r="E282" s="35">
        <v>0</v>
      </c>
      <c r="F282" s="35">
        <v>5038.26</v>
      </c>
      <c r="H282" s="35">
        <v>10076.52</v>
      </c>
      <c r="J282" s="35">
        <v>-5038.26</v>
      </c>
    </row>
    <row r="283" spans="1:10" ht="15.95" hidden="1" customHeight="1" x14ac:dyDescent="0.2">
      <c r="A283" s="38" t="s">
        <v>476</v>
      </c>
      <c r="B283" s="385" t="s">
        <v>477</v>
      </c>
      <c r="C283" s="386"/>
      <c r="D283" s="386"/>
      <c r="E283" s="35">
        <v>0</v>
      </c>
      <c r="F283" s="35">
        <v>7152.75</v>
      </c>
      <c r="H283" s="35">
        <v>8745</v>
      </c>
      <c r="J283" s="35">
        <v>-1592.25</v>
      </c>
    </row>
    <row r="284" spans="1:10" ht="15.95" hidden="1" customHeight="1" x14ac:dyDescent="0.2">
      <c r="A284" s="38" t="s">
        <v>1489</v>
      </c>
      <c r="B284" s="385" t="s">
        <v>1490</v>
      </c>
      <c r="C284" s="386"/>
      <c r="D284" s="386"/>
      <c r="E284" s="35">
        <v>0</v>
      </c>
      <c r="F284" s="35">
        <v>33125</v>
      </c>
      <c r="H284" s="35">
        <v>33125</v>
      </c>
      <c r="J284" s="35">
        <v>0</v>
      </c>
    </row>
    <row r="285" spans="1:10" ht="15.95" hidden="1" customHeight="1" x14ac:dyDescent="0.2">
      <c r="A285" s="38" t="s">
        <v>1491</v>
      </c>
      <c r="B285" s="385" t="s">
        <v>1492</v>
      </c>
      <c r="C285" s="386"/>
      <c r="D285" s="386"/>
      <c r="E285" s="35">
        <v>-333069.58</v>
      </c>
      <c r="F285" s="35">
        <v>986978.77</v>
      </c>
      <c r="H285" s="35">
        <v>736590.26</v>
      </c>
      <c r="J285" s="35">
        <v>-82681.070000000007</v>
      </c>
    </row>
    <row r="286" spans="1:10" ht="15.95" hidden="1" customHeight="1" x14ac:dyDescent="0.2">
      <c r="A286" s="38" t="s">
        <v>1493</v>
      </c>
      <c r="B286" s="385" t="s">
        <v>1494</v>
      </c>
      <c r="C286" s="386"/>
      <c r="D286" s="386"/>
      <c r="E286" s="35">
        <v>-43091.42</v>
      </c>
      <c r="F286" s="35">
        <v>43091.42</v>
      </c>
      <c r="H286" s="35">
        <v>0</v>
      </c>
      <c r="J286" s="35">
        <v>0</v>
      </c>
    </row>
    <row r="287" spans="1:10" ht="15.95" hidden="1" customHeight="1" x14ac:dyDescent="0.2">
      <c r="A287" s="38" t="s">
        <v>478</v>
      </c>
      <c r="B287" s="385" t="s">
        <v>479</v>
      </c>
      <c r="C287" s="386"/>
      <c r="D287" s="386"/>
      <c r="E287" s="35">
        <v>0</v>
      </c>
      <c r="F287" s="35">
        <v>11451.8</v>
      </c>
      <c r="H287" s="35">
        <v>11451.8</v>
      </c>
      <c r="J287" s="35">
        <v>0</v>
      </c>
    </row>
    <row r="288" spans="1:10" ht="15.95" hidden="1" customHeight="1" x14ac:dyDescent="0.2">
      <c r="A288" s="38" t="s">
        <v>480</v>
      </c>
      <c r="B288" s="385" t="s">
        <v>481</v>
      </c>
      <c r="C288" s="386"/>
      <c r="D288" s="386"/>
      <c r="E288" s="35">
        <v>0</v>
      </c>
      <c r="F288" s="35">
        <v>4817.3599999999997</v>
      </c>
      <c r="H288" s="35">
        <v>6900</v>
      </c>
      <c r="J288" s="35">
        <v>-2082.64</v>
      </c>
    </row>
    <row r="289" spans="1:10" ht="15.95" hidden="1" customHeight="1" x14ac:dyDescent="0.2">
      <c r="A289" s="38" t="s">
        <v>1595</v>
      </c>
      <c r="B289" s="385" t="s">
        <v>1596</v>
      </c>
      <c r="C289" s="386"/>
      <c r="D289" s="386"/>
      <c r="E289" s="35">
        <v>0</v>
      </c>
      <c r="F289" s="35">
        <v>848.06</v>
      </c>
      <c r="H289" s="35">
        <v>848.06</v>
      </c>
      <c r="J289" s="35">
        <v>0</v>
      </c>
    </row>
    <row r="290" spans="1:10" ht="15.95" hidden="1" customHeight="1" x14ac:dyDescent="0.2">
      <c r="A290" s="38" t="s">
        <v>1495</v>
      </c>
      <c r="B290" s="385" t="s">
        <v>1496</v>
      </c>
      <c r="C290" s="386"/>
      <c r="D290" s="386"/>
      <c r="E290" s="35">
        <v>0</v>
      </c>
      <c r="F290" s="35">
        <v>10336.629999999999</v>
      </c>
      <c r="H290" s="35">
        <v>10336.629999999999</v>
      </c>
      <c r="J290" s="35">
        <v>0</v>
      </c>
    </row>
    <row r="291" spans="1:10" ht="15.95" hidden="1" customHeight="1" x14ac:dyDescent="0.2">
      <c r="A291" s="38" t="s">
        <v>482</v>
      </c>
      <c r="B291" s="385" t="s">
        <v>483</v>
      </c>
      <c r="C291" s="386"/>
      <c r="D291" s="386"/>
      <c r="E291" s="35">
        <v>0</v>
      </c>
      <c r="F291" s="35">
        <v>30766.25</v>
      </c>
      <c r="H291" s="35">
        <v>30766.25</v>
      </c>
      <c r="J291" s="35">
        <v>0</v>
      </c>
    </row>
    <row r="292" spans="1:10" ht="15.95" hidden="1" customHeight="1" x14ac:dyDescent="0.2">
      <c r="A292" s="38" t="s">
        <v>484</v>
      </c>
      <c r="B292" s="385" t="s">
        <v>485</v>
      </c>
      <c r="C292" s="386"/>
      <c r="D292" s="386"/>
      <c r="E292" s="35">
        <v>0</v>
      </c>
      <c r="F292" s="35">
        <v>6323.21</v>
      </c>
      <c r="H292" s="35">
        <v>6323.21</v>
      </c>
      <c r="J292" s="35">
        <v>0</v>
      </c>
    </row>
    <row r="293" spans="1:10" ht="15.95" hidden="1" customHeight="1" x14ac:dyDescent="0.2">
      <c r="A293" s="38" t="s">
        <v>486</v>
      </c>
      <c r="B293" s="385" t="s">
        <v>487</v>
      </c>
      <c r="C293" s="386"/>
      <c r="D293" s="386"/>
      <c r="E293" s="35">
        <v>0</v>
      </c>
      <c r="F293" s="35">
        <v>4340.82</v>
      </c>
      <c r="H293" s="35">
        <v>4340.82</v>
      </c>
      <c r="J293" s="35">
        <v>0</v>
      </c>
    </row>
    <row r="294" spans="1:10" ht="15.95" hidden="1" customHeight="1" x14ac:dyDescent="0.2">
      <c r="A294" s="38" t="s">
        <v>488</v>
      </c>
      <c r="B294" s="385" t="s">
        <v>489</v>
      </c>
      <c r="C294" s="386"/>
      <c r="D294" s="386"/>
      <c r="E294" s="35">
        <v>-129078.55</v>
      </c>
      <c r="F294" s="35">
        <v>769138.67</v>
      </c>
      <c r="H294" s="35">
        <v>640060.12</v>
      </c>
      <c r="J294" s="35">
        <v>0</v>
      </c>
    </row>
    <row r="295" spans="1:10" ht="15.95" hidden="1" customHeight="1" x14ac:dyDescent="0.2">
      <c r="A295" s="38" t="s">
        <v>490</v>
      </c>
      <c r="B295" s="385" t="s">
        <v>491</v>
      </c>
      <c r="C295" s="386"/>
      <c r="D295" s="386"/>
      <c r="E295" s="35">
        <v>0</v>
      </c>
      <c r="F295" s="35">
        <v>15573.81</v>
      </c>
      <c r="H295" s="35">
        <v>18351.73</v>
      </c>
      <c r="J295" s="35">
        <v>-2777.92</v>
      </c>
    </row>
    <row r="296" spans="1:10" ht="15.95" hidden="1" customHeight="1" x14ac:dyDescent="0.2">
      <c r="A296" s="38" t="s">
        <v>492</v>
      </c>
      <c r="B296" s="385" t="s">
        <v>493</v>
      </c>
      <c r="C296" s="386"/>
      <c r="D296" s="386"/>
      <c r="E296" s="35">
        <v>0</v>
      </c>
      <c r="F296" s="35">
        <v>149.12</v>
      </c>
      <c r="H296" s="35">
        <v>149.12</v>
      </c>
      <c r="J296" s="35">
        <v>0</v>
      </c>
    </row>
    <row r="297" spans="1:10" ht="15.95" hidden="1" customHeight="1" x14ac:dyDescent="0.2">
      <c r="A297" s="38" t="s">
        <v>494</v>
      </c>
      <c r="B297" s="385" t="s">
        <v>495</v>
      </c>
      <c r="C297" s="386"/>
      <c r="D297" s="386"/>
      <c r="E297" s="35">
        <v>0</v>
      </c>
      <c r="F297" s="35">
        <v>746.09</v>
      </c>
      <c r="H297" s="35">
        <v>746.09</v>
      </c>
      <c r="J297" s="35">
        <v>0</v>
      </c>
    </row>
    <row r="298" spans="1:10" ht="15.95" hidden="1" customHeight="1" x14ac:dyDescent="0.2">
      <c r="A298" s="38" t="s">
        <v>496</v>
      </c>
      <c r="B298" s="385" t="s">
        <v>497</v>
      </c>
      <c r="C298" s="386"/>
      <c r="D298" s="386"/>
      <c r="E298" s="35">
        <v>-119502.26</v>
      </c>
      <c r="F298" s="35">
        <v>0</v>
      </c>
      <c r="H298" s="35">
        <v>0</v>
      </c>
      <c r="J298" s="35">
        <v>-119502.26</v>
      </c>
    </row>
    <row r="299" spans="1:10" ht="15.95" hidden="1" customHeight="1" x14ac:dyDescent="0.2">
      <c r="A299" s="38" t="s">
        <v>498</v>
      </c>
      <c r="B299" s="385" t="s">
        <v>499</v>
      </c>
      <c r="C299" s="386"/>
      <c r="D299" s="386"/>
      <c r="E299" s="35">
        <v>-1095.99</v>
      </c>
      <c r="F299" s="35">
        <v>7358.35</v>
      </c>
      <c r="H299" s="35">
        <v>7441.25</v>
      </c>
      <c r="J299" s="35">
        <v>-1178.8900000000001</v>
      </c>
    </row>
    <row r="300" spans="1:10" ht="15.95" hidden="1" customHeight="1" x14ac:dyDescent="0.2">
      <c r="A300" s="38" t="s">
        <v>500</v>
      </c>
      <c r="B300" s="385" t="s">
        <v>501</v>
      </c>
      <c r="C300" s="386"/>
      <c r="D300" s="386"/>
      <c r="E300" s="35">
        <v>0</v>
      </c>
      <c r="F300" s="35">
        <v>12050.96</v>
      </c>
      <c r="H300" s="35">
        <v>12050.96</v>
      </c>
      <c r="J300" s="35">
        <v>0</v>
      </c>
    </row>
    <row r="301" spans="1:10" ht="15.95" hidden="1" customHeight="1" x14ac:dyDescent="0.2">
      <c r="A301" s="38" t="s">
        <v>1497</v>
      </c>
      <c r="B301" s="385" t="s">
        <v>1498</v>
      </c>
      <c r="C301" s="386"/>
      <c r="D301" s="386"/>
      <c r="E301" s="35">
        <v>-254415.56</v>
      </c>
      <c r="F301" s="35">
        <v>0</v>
      </c>
      <c r="H301" s="35">
        <v>0</v>
      </c>
      <c r="J301" s="35">
        <v>-254415.56</v>
      </c>
    </row>
    <row r="302" spans="1:10" ht="15.95" hidden="1" customHeight="1" x14ac:dyDescent="0.2">
      <c r="A302" s="38" t="s">
        <v>502</v>
      </c>
      <c r="B302" s="385" t="s">
        <v>503</v>
      </c>
      <c r="C302" s="386"/>
      <c r="D302" s="386"/>
      <c r="E302" s="35">
        <v>0</v>
      </c>
      <c r="F302" s="35">
        <v>1320332.31</v>
      </c>
      <c r="H302" s="35">
        <v>1383486.62</v>
      </c>
      <c r="J302" s="35">
        <v>-63154.31</v>
      </c>
    </row>
    <row r="303" spans="1:10" ht="15.95" hidden="1" customHeight="1" x14ac:dyDescent="0.2">
      <c r="A303" s="38" t="s">
        <v>504</v>
      </c>
      <c r="B303" s="385" t="s">
        <v>505</v>
      </c>
      <c r="C303" s="386"/>
      <c r="D303" s="386"/>
      <c r="E303" s="35">
        <v>-3169.28</v>
      </c>
      <c r="F303" s="35">
        <v>22475.360000000001</v>
      </c>
      <c r="H303" s="35">
        <v>22482.48</v>
      </c>
      <c r="J303" s="35">
        <v>-3176.4</v>
      </c>
    </row>
    <row r="304" spans="1:10" ht="15.95" hidden="1" customHeight="1" x14ac:dyDescent="0.2">
      <c r="A304" s="38" t="s">
        <v>506</v>
      </c>
      <c r="B304" s="385" t="s">
        <v>507</v>
      </c>
      <c r="C304" s="386"/>
      <c r="D304" s="386"/>
      <c r="E304" s="35">
        <v>-6.69</v>
      </c>
      <c r="F304" s="35">
        <v>750048.41</v>
      </c>
      <c r="H304" s="35">
        <v>750041.72</v>
      </c>
      <c r="J304" s="35">
        <v>0</v>
      </c>
    </row>
    <row r="305" spans="1:10" ht="15.95" hidden="1" customHeight="1" x14ac:dyDescent="0.2">
      <c r="A305" s="38" t="s">
        <v>510</v>
      </c>
      <c r="B305" s="385" t="s">
        <v>511</v>
      </c>
      <c r="C305" s="386"/>
      <c r="D305" s="386"/>
      <c r="E305" s="35">
        <v>-331002</v>
      </c>
      <c r="F305" s="35">
        <v>717403.75</v>
      </c>
      <c r="H305" s="35">
        <v>586600</v>
      </c>
      <c r="J305" s="35">
        <v>-200198.25</v>
      </c>
    </row>
    <row r="306" spans="1:10" ht="15.95" hidden="1" customHeight="1" x14ac:dyDescent="0.2">
      <c r="A306" s="38" t="s">
        <v>1499</v>
      </c>
      <c r="B306" s="385" t="s">
        <v>1500</v>
      </c>
      <c r="C306" s="386"/>
      <c r="D306" s="386"/>
      <c r="E306" s="35">
        <v>0</v>
      </c>
      <c r="F306" s="35">
        <v>33557.08</v>
      </c>
      <c r="H306" s="35">
        <v>35169.53</v>
      </c>
      <c r="J306" s="35">
        <v>-1612.45</v>
      </c>
    </row>
    <row r="307" spans="1:10" ht="15.95" hidden="1" customHeight="1" x14ac:dyDescent="0.2">
      <c r="A307" s="38" t="s">
        <v>512</v>
      </c>
      <c r="B307" s="385" t="s">
        <v>513</v>
      </c>
      <c r="C307" s="386"/>
      <c r="D307" s="386"/>
      <c r="E307" s="35">
        <v>-1606.1</v>
      </c>
      <c r="F307" s="35">
        <v>0</v>
      </c>
      <c r="H307" s="35">
        <v>0</v>
      </c>
      <c r="J307" s="35">
        <v>-1606.1</v>
      </c>
    </row>
    <row r="308" spans="1:10" ht="15.95" hidden="1" customHeight="1" x14ac:dyDescent="0.2">
      <c r="A308" s="38" t="s">
        <v>1501</v>
      </c>
      <c r="B308" s="385" t="s">
        <v>1502</v>
      </c>
      <c r="C308" s="386"/>
      <c r="D308" s="386"/>
      <c r="E308" s="35">
        <v>0</v>
      </c>
      <c r="F308" s="35">
        <v>17341.79</v>
      </c>
      <c r="H308" s="35">
        <v>17341.79</v>
      </c>
      <c r="J308" s="35">
        <v>0</v>
      </c>
    </row>
    <row r="309" spans="1:10" ht="15.95" hidden="1" customHeight="1" x14ac:dyDescent="0.2">
      <c r="A309" s="38" t="s">
        <v>1503</v>
      </c>
      <c r="B309" s="385" t="s">
        <v>1504</v>
      </c>
      <c r="C309" s="386"/>
      <c r="D309" s="386"/>
      <c r="E309" s="35">
        <v>-427.72</v>
      </c>
      <c r="F309" s="35">
        <v>1468.72</v>
      </c>
      <c r="H309" s="35">
        <v>1041</v>
      </c>
      <c r="J309" s="35">
        <v>0</v>
      </c>
    </row>
    <row r="310" spans="1:10" ht="15.95" hidden="1" customHeight="1" x14ac:dyDescent="0.2">
      <c r="A310" s="38" t="s">
        <v>1597</v>
      </c>
      <c r="B310" s="385" t="s">
        <v>1598</v>
      </c>
      <c r="C310" s="386"/>
      <c r="D310" s="386"/>
      <c r="E310" s="35">
        <v>0</v>
      </c>
      <c r="F310" s="35">
        <v>5245.2</v>
      </c>
      <c r="H310" s="35">
        <v>5245.2</v>
      </c>
      <c r="J310" s="35">
        <v>0</v>
      </c>
    </row>
    <row r="311" spans="1:10" ht="15.95" hidden="1" customHeight="1" x14ac:dyDescent="0.2">
      <c r="A311" s="38" t="s">
        <v>514</v>
      </c>
      <c r="B311" s="385" t="s">
        <v>515</v>
      </c>
      <c r="C311" s="386"/>
      <c r="D311" s="386"/>
      <c r="E311" s="35">
        <v>-66899.520000000004</v>
      </c>
      <c r="F311" s="35">
        <v>243182.83</v>
      </c>
      <c r="H311" s="35">
        <v>176283.31</v>
      </c>
      <c r="J311" s="35">
        <v>0</v>
      </c>
    </row>
    <row r="312" spans="1:10" ht="15.95" hidden="1" customHeight="1" x14ac:dyDescent="0.2">
      <c r="A312" s="38" t="s">
        <v>516</v>
      </c>
      <c r="B312" s="385" t="s">
        <v>517</v>
      </c>
      <c r="C312" s="386"/>
      <c r="D312" s="386"/>
      <c r="E312" s="35">
        <v>-6121.35</v>
      </c>
      <c r="F312" s="35">
        <v>0</v>
      </c>
      <c r="H312" s="35">
        <v>0</v>
      </c>
      <c r="J312" s="35">
        <v>-6121.35</v>
      </c>
    </row>
    <row r="313" spans="1:10" ht="15.95" hidden="1" customHeight="1" x14ac:dyDescent="0.2">
      <c r="A313" s="38" t="s">
        <v>518</v>
      </c>
      <c r="B313" s="385" t="s">
        <v>519</v>
      </c>
      <c r="C313" s="386"/>
      <c r="D313" s="386"/>
      <c r="E313" s="35">
        <v>-336097.33</v>
      </c>
      <c r="F313" s="35">
        <v>0</v>
      </c>
      <c r="H313" s="35">
        <v>0</v>
      </c>
      <c r="J313" s="35">
        <v>-336097.33</v>
      </c>
    </row>
    <row r="314" spans="1:10" ht="15.95" hidden="1" customHeight="1" x14ac:dyDescent="0.2">
      <c r="A314" s="38" t="s">
        <v>1505</v>
      </c>
      <c r="B314" s="385" t="s">
        <v>1506</v>
      </c>
      <c r="C314" s="386"/>
      <c r="D314" s="386"/>
      <c r="E314" s="35">
        <v>0</v>
      </c>
      <c r="F314" s="35">
        <v>4465.08</v>
      </c>
      <c r="H314" s="35">
        <v>4465.08</v>
      </c>
      <c r="J314" s="35">
        <v>0</v>
      </c>
    </row>
    <row r="315" spans="1:10" ht="15.95" hidden="1" customHeight="1" x14ac:dyDescent="0.2">
      <c r="A315" s="38" t="s">
        <v>1507</v>
      </c>
      <c r="B315" s="385" t="s">
        <v>1508</v>
      </c>
      <c r="C315" s="386"/>
      <c r="D315" s="386"/>
      <c r="E315" s="35">
        <v>0</v>
      </c>
      <c r="F315" s="35">
        <v>1410</v>
      </c>
      <c r="H315" s="35">
        <v>1410</v>
      </c>
      <c r="J315" s="35">
        <v>0</v>
      </c>
    </row>
    <row r="316" spans="1:10" ht="15.95" hidden="1" customHeight="1" x14ac:dyDescent="0.2">
      <c r="A316" s="38" t="s">
        <v>520</v>
      </c>
      <c r="B316" s="385" t="s">
        <v>521</v>
      </c>
      <c r="C316" s="386"/>
      <c r="D316" s="386"/>
      <c r="E316" s="35">
        <v>-179657.48</v>
      </c>
      <c r="F316" s="35">
        <v>152045.48000000001</v>
      </c>
      <c r="H316" s="35">
        <v>0</v>
      </c>
      <c r="J316" s="35">
        <v>-27612</v>
      </c>
    </row>
    <row r="317" spans="1:10" ht="15.95" hidden="1" customHeight="1" x14ac:dyDescent="0.2">
      <c r="A317" s="38" t="s">
        <v>522</v>
      </c>
      <c r="B317" s="385" t="s">
        <v>523</v>
      </c>
      <c r="C317" s="386"/>
      <c r="D317" s="386"/>
      <c r="E317" s="35">
        <v>-5515.14</v>
      </c>
      <c r="F317" s="35">
        <v>48529.26</v>
      </c>
      <c r="H317" s="35">
        <v>48855.77</v>
      </c>
      <c r="J317" s="35">
        <v>-5841.65</v>
      </c>
    </row>
    <row r="318" spans="1:10" ht="15.95" hidden="1" customHeight="1" x14ac:dyDescent="0.2">
      <c r="A318" s="38" t="s">
        <v>524</v>
      </c>
      <c r="B318" s="385" t="s">
        <v>525</v>
      </c>
      <c r="C318" s="386"/>
      <c r="D318" s="386"/>
      <c r="E318" s="35">
        <v>0</v>
      </c>
      <c r="F318" s="35">
        <v>650164.67000000004</v>
      </c>
      <c r="H318" s="35">
        <v>650164.67000000004</v>
      </c>
      <c r="J318" s="35">
        <v>0</v>
      </c>
    </row>
    <row r="319" spans="1:10" ht="15.95" hidden="1" customHeight="1" x14ac:dyDescent="0.2">
      <c r="A319" s="38" t="s">
        <v>1509</v>
      </c>
      <c r="B319" s="385" t="s">
        <v>1510</v>
      </c>
      <c r="C319" s="386"/>
      <c r="D319" s="386"/>
      <c r="E319" s="35">
        <v>0</v>
      </c>
      <c r="F319" s="35">
        <v>440</v>
      </c>
      <c r="H319" s="35">
        <v>440</v>
      </c>
      <c r="J319" s="35">
        <v>0</v>
      </c>
    </row>
    <row r="320" spans="1:10" ht="15.95" hidden="1" customHeight="1" x14ac:dyDescent="0.2">
      <c r="A320" s="38" t="s">
        <v>526</v>
      </c>
      <c r="B320" s="385" t="s">
        <v>527</v>
      </c>
      <c r="C320" s="386"/>
      <c r="D320" s="386"/>
      <c r="E320" s="35">
        <v>-943.19</v>
      </c>
      <c r="F320" s="35">
        <v>1836.28</v>
      </c>
      <c r="H320" s="35">
        <v>893.09</v>
      </c>
      <c r="J320" s="35">
        <v>0</v>
      </c>
    </row>
    <row r="321" spans="1:10" ht="15.95" hidden="1" customHeight="1" x14ac:dyDescent="0.2">
      <c r="A321" s="38" t="s">
        <v>528</v>
      </c>
      <c r="B321" s="385" t="s">
        <v>529</v>
      </c>
      <c r="C321" s="386"/>
      <c r="D321" s="386"/>
      <c r="E321" s="35">
        <v>0</v>
      </c>
      <c r="F321" s="35">
        <v>1704</v>
      </c>
      <c r="H321" s="35">
        <v>1704</v>
      </c>
      <c r="J321" s="35">
        <v>0</v>
      </c>
    </row>
    <row r="322" spans="1:10" ht="15.95" hidden="1" customHeight="1" x14ac:dyDescent="0.2">
      <c r="A322" s="38" t="s">
        <v>530</v>
      </c>
      <c r="B322" s="385" t="s">
        <v>531</v>
      </c>
      <c r="C322" s="386"/>
      <c r="D322" s="386"/>
      <c r="E322" s="35">
        <v>-30222.15</v>
      </c>
      <c r="F322" s="35">
        <v>166971.54</v>
      </c>
      <c r="H322" s="35">
        <v>152008.9</v>
      </c>
      <c r="J322" s="35">
        <v>-15259.51</v>
      </c>
    </row>
    <row r="323" spans="1:10" ht="15.95" hidden="1" customHeight="1" x14ac:dyDescent="0.2">
      <c r="A323" s="38" t="s">
        <v>1511</v>
      </c>
      <c r="B323" s="385" t="s">
        <v>1512</v>
      </c>
      <c r="C323" s="386"/>
      <c r="D323" s="386"/>
      <c r="E323" s="35">
        <v>0</v>
      </c>
      <c r="F323" s="35">
        <v>46865.4</v>
      </c>
      <c r="H323" s="35">
        <v>46865.4</v>
      </c>
      <c r="J323" s="35">
        <v>0</v>
      </c>
    </row>
    <row r="324" spans="1:10" ht="15.95" hidden="1" customHeight="1" x14ac:dyDescent="0.2">
      <c r="A324" s="38" t="s">
        <v>532</v>
      </c>
      <c r="B324" s="385" t="s">
        <v>533</v>
      </c>
      <c r="C324" s="386"/>
      <c r="D324" s="386"/>
      <c r="E324" s="35">
        <v>-1886.04</v>
      </c>
      <c r="F324" s="35">
        <v>12297.97</v>
      </c>
      <c r="H324" s="35">
        <v>12014.24</v>
      </c>
      <c r="J324" s="35">
        <v>-1602.31</v>
      </c>
    </row>
    <row r="325" spans="1:10" ht="15.95" hidden="1" customHeight="1" x14ac:dyDescent="0.2">
      <c r="A325" s="38" t="s">
        <v>534</v>
      </c>
      <c r="B325" s="385" t="s">
        <v>535</v>
      </c>
      <c r="C325" s="386"/>
      <c r="D325" s="386"/>
      <c r="E325" s="35">
        <v>0</v>
      </c>
      <c r="F325" s="35">
        <v>1540999.54</v>
      </c>
      <c r="H325" s="35">
        <v>1598454.61</v>
      </c>
      <c r="J325" s="35">
        <v>-57455.07</v>
      </c>
    </row>
    <row r="326" spans="1:10" ht="27.95" hidden="1" customHeight="1" x14ac:dyDescent="0.2">
      <c r="A326" s="38" t="s">
        <v>1513</v>
      </c>
      <c r="B326" s="385" t="s">
        <v>1514</v>
      </c>
      <c r="C326" s="386"/>
      <c r="D326" s="386"/>
      <c r="E326" s="35">
        <v>0</v>
      </c>
      <c r="F326" s="35">
        <v>15495.21</v>
      </c>
      <c r="H326" s="35">
        <v>15495.21</v>
      </c>
      <c r="J326" s="35">
        <v>0</v>
      </c>
    </row>
    <row r="327" spans="1:10" ht="15.95" hidden="1" customHeight="1" x14ac:dyDescent="0.2">
      <c r="A327" s="38" t="s">
        <v>536</v>
      </c>
      <c r="B327" s="385" t="s">
        <v>537</v>
      </c>
      <c r="C327" s="386"/>
      <c r="D327" s="386"/>
      <c r="E327" s="35">
        <v>0</v>
      </c>
      <c r="F327" s="35">
        <v>78540.600000000006</v>
      </c>
      <c r="H327" s="35">
        <v>78540.600000000006</v>
      </c>
      <c r="J327" s="35">
        <v>0</v>
      </c>
    </row>
    <row r="328" spans="1:10" ht="15.95" hidden="1" customHeight="1" x14ac:dyDescent="0.2">
      <c r="A328" s="38" t="s">
        <v>538</v>
      </c>
      <c r="B328" s="385" t="s">
        <v>539</v>
      </c>
      <c r="C328" s="386"/>
      <c r="D328" s="386"/>
      <c r="E328" s="35">
        <v>-1235</v>
      </c>
      <c r="F328" s="35">
        <v>7735</v>
      </c>
      <c r="H328" s="35">
        <v>6500</v>
      </c>
      <c r="J328" s="35">
        <v>0</v>
      </c>
    </row>
    <row r="329" spans="1:10" ht="15.95" hidden="1" customHeight="1" x14ac:dyDescent="0.2">
      <c r="A329" s="38" t="s">
        <v>540</v>
      </c>
      <c r="B329" s="385" t="s">
        <v>541</v>
      </c>
      <c r="C329" s="386"/>
      <c r="D329" s="386"/>
      <c r="E329" s="35">
        <v>-99496.55</v>
      </c>
      <c r="F329" s="35">
        <v>0</v>
      </c>
      <c r="H329" s="35">
        <v>0</v>
      </c>
      <c r="J329" s="35">
        <v>-99496.55</v>
      </c>
    </row>
    <row r="330" spans="1:10" ht="15.95" hidden="1" customHeight="1" x14ac:dyDescent="0.2">
      <c r="A330" s="38" t="s">
        <v>1515</v>
      </c>
      <c r="B330" s="385" t="s">
        <v>1516</v>
      </c>
      <c r="C330" s="386"/>
      <c r="D330" s="386"/>
      <c r="E330" s="35">
        <v>0</v>
      </c>
      <c r="F330" s="35">
        <v>799178.26</v>
      </c>
      <c r="H330" s="35">
        <v>1213530.51</v>
      </c>
      <c r="J330" s="35">
        <v>-414352.25</v>
      </c>
    </row>
    <row r="331" spans="1:10" ht="15.95" hidden="1" customHeight="1" x14ac:dyDescent="0.2">
      <c r="A331" s="38" t="s">
        <v>542</v>
      </c>
      <c r="B331" s="385" t="s">
        <v>543</v>
      </c>
      <c r="C331" s="386"/>
      <c r="D331" s="386"/>
      <c r="E331" s="35">
        <v>0</v>
      </c>
      <c r="F331" s="35">
        <v>375348</v>
      </c>
      <c r="H331" s="35">
        <v>375348</v>
      </c>
      <c r="J331" s="35">
        <v>0</v>
      </c>
    </row>
    <row r="332" spans="1:10" ht="15.95" hidden="1" customHeight="1" x14ac:dyDescent="0.2">
      <c r="A332" s="38" t="s">
        <v>544</v>
      </c>
      <c r="B332" s="385" t="s">
        <v>545</v>
      </c>
      <c r="C332" s="386"/>
      <c r="D332" s="386"/>
      <c r="E332" s="35">
        <v>0</v>
      </c>
      <c r="F332" s="35">
        <v>115857.36</v>
      </c>
      <c r="H332" s="35">
        <v>133159.82</v>
      </c>
      <c r="J332" s="35">
        <v>-17302.46</v>
      </c>
    </row>
    <row r="333" spans="1:10" ht="15.95" hidden="1" customHeight="1" x14ac:dyDescent="0.2">
      <c r="A333" s="38" t="s">
        <v>546</v>
      </c>
      <c r="B333" s="385" t="s">
        <v>547</v>
      </c>
      <c r="C333" s="386"/>
      <c r="D333" s="386"/>
      <c r="E333" s="35">
        <v>0</v>
      </c>
      <c r="F333" s="35">
        <v>598141.6</v>
      </c>
      <c r="H333" s="35">
        <v>598141.6</v>
      </c>
      <c r="J333" s="35">
        <v>0</v>
      </c>
    </row>
    <row r="334" spans="1:10" ht="15.95" hidden="1" customHeight="1" x14ac:dyDescent="0.2">
      <c r="A334" s="38" t="s">
        <v>548</v>
      </c>
      <c r="B334" s="385" t="s">
        <v>549</v>
      </c>
      <c r="C334" s="386"/>
      <c r="D334" s="386"/>
      <c r="E334" s="35">
        <v>0</v>
      </c>
      <c r="F334" s="35">
        <v>59090.239999999998</v>
      </c>
      <c r="H334" s="35">
        <v>59090.239999999998</v>
      </c>
      <c r="J334" s="35">
        <v>0</v>
      </c>
    </row>
    <row r="335" spans="1:10" ht="15.95" hidden="1" customHeight="1" x14ac:dyDescent="0.2">
      <c r="A335" s="38" t="s">
        <v>1517</v>
      </c>
      <c r="B335" s="385" t="s">
        <v>1518</v>
      </c>
      <c r="C335" s="386"/>
      <c r="D335" s="386"/>
      <c r="E335" s="35">
        <v>5.49</v>
      </c>
      <c r="F335" s="35">
        <v>716.01</v>
      </c>
      <c r="H335" s="35">
        <v>721.5</v>
      </c>
      <c r="J335" s="35">
        <v>0</v>
      </c>
    </row>
    <row r="336" spans="1:10" ht="15.95" hidden="1" customHeight="1" x14ac:dyDescent="0.2">
      <c r="A336" s="38" t="s">
        <v>1519</v>
      </c>
      <c r="B336" s="385" t="s">
        <v>1520</v>
      </c>
      <c r="C336" s="386"/>
      <c r="D336" s="386"/>
      <c r="E336" s="35">
        <v>-3931.04</v>
      </c>
      <c r="F336" s="35">
        <v>25031.919999999998</v>
      </c>
      <c r="H336" s="35">
        <v>21100.880000000001</v>
      </c>
      <c r="J336" s="35">
        <v>0</v>
      </c>
    </row>
    <row r="337" spans="1:10" ht="15.95" hidden="1" customHeight="1" x14ac:dyDescent="0.2">
      <c r="A337" s="38" t="s">
        <v>550</v>
      </c>
      <c r="B337" s="385" t="s">
        <v>551</v>
      </c>
      <c r="C337" s="386"/>
      <c r="D337" s="386"/>
      <c r="E337" s="35">
        <v>0</v>
      </c>
      <c r="F337" s="35">
        <v>86026.81</v>
      </c>
      <c r="H337" s="35">
        <v>86026.81</v>
      </c>
      <c r="J337" s="35">
        <v>0</v>
      </c>
    </row>
    <row r="338" spans="1:10" ht="15.95" hidden="1" customHeight="1" x14ac:dyDescent="0.2">
      <c r="A338" s="38" t="s">
        <v>1521</v>
      </c>
      <c r="B338" s="385" t="s">
        <v>1522</v>
      </c>
      <c r="C338" s="386"/>
      <c r="D338" s="386"/>
      <c r="E338" s="35">
        <v>-1125</v>
      </c>
      <c r="F338" s="35">
        <v>6750</v>
      </c>
      <c r="H338" s="35">
        <v>5625</v>
      </c>
      <c r="J338" s="35">
        <v>0</v>
      </c>
    </row>
    <row r="339" spans="1:10" ht="15.95" hidden="1" customHeight="1" x14ac:dyDescent="0.2">
      <c r="A339" s="38" t="s">
        <v>552</v>
      </c>
      <c r="B339" s="385" t="s">
        <v>553</v>
      </c>
      <c r="C339" s="386"/>
      <c r="D339" s="386"/>
      <c r="E339" s="35">
        <v>0</v>
      </c>
      <c r="F339" s="35">
        <v>5959.58</v>
      </c>
      <c r="H339" s="35">
        <v>5959.58</v>
      </c>
      <c r="J339" s="35">
        <v>0</v>
      </c>
    </row>
    <row r="340" spans="1:10" ht="15.95" hidden="1" customHeight="1" x14ac:dyDescent="0.2">
      <c r="A340" s="38" t="s">
        <v>1599</v>
      </c>
      <c r="B340" s="385" t="s">
        <v>1600</v>
      </c>
      <c r="C340" s="386"/>
      <c r="D340" s="386"/>
      <c r="E340" s="35">
        <v>-3764.2</v>
      </c>
      <c r="F340" s="35">
        <v>3764.2</v>
      </c>
      <c r="H340" s="35">
        <v>0</v>
      </c>
      <c r="J340" s="35">
        <v>0</v>
      </c>
    </row>
    <row r="341" spans="1:10" ht="15.95" hidden="1" customHeight="1" x14ac:dyDescent="0.2">
      <c r="A341" s="38" t="s">
        <v>1601</v>
      </c>
      <c r="B341" s="385" t="s">
        <v>1602</v>
      </c>
      <c r="C341" s="386"/>
      <c r="D341" s="386"/>
      <c r="E341" s="35">
        <v>-26400</v>
      </c>
      <c r="F341" s="35">
        <v>26400</v>
      </c>
      <c r="H341" s="35">
        <v>0</v>
      </c>
      <c r="J341" s="35">
        <v>0</v>
      </c>
    </row>
    <row r="342" spans="1:10" ht="15.95" hidden="1" customHeight="1" x14ac:dyDescent="0.2">
      <c r="A342" s="38" t="s">
        <v>1603</v>
      </c>
      <c r="B342" s="385" t="s">
        <v>1604</v>
      </c>
      <c r="C342" s="386"/>
      <c r="D342" s="386"/>
      <c r="E342" s="35">
        <v>-7190</v>
      </c>
      <c r="F342" s="35">
        <v>7190</v>
      </c>
      <c r="H342" s="35">
        <v>0</v>
      </c>
      <c r="J342" s="35">
        <v>0</v>
      </c>
    </row>
    <row r="343" spans="1:10" ht="15.95" hidden="1" customHeight="1" x14ac:dyDescent="0.2">
      <c r="A343" s="38" t="s">
        <v>554</v>
      </c>
      <c r="B343" s="385" t="s">
        <v>555</v>
      </c>
      <c r="C343" s="386"/>
      <c r="D343" s="386"/>
      <c r="E343" s="35">
        <v>0</v>
      </c>
      <c r="F343" s="35">
        <v>629.75</v>
      </c>
      <c r="H343" s="35">
        <v>629.75</v>
      </c>
      <c r="J343" s="35">
        <v>0</v>
      </c>
    </row>
    <row r="344" spans="1:10" ht="15.95" hidden="1" customHeight="1" x14ac:dyDescent="0.2">
      <c r="A344" s="38">
        <v>2110102</v>
      </c>
      <c r="B344" s="385" t="s">
        <v>566</v>
      </c>
      <c r="C344" s="386"/>
      <c r="D344" s="386"/>
      <c r="E344" s="35">
        <v>-404681.88</v>
      </c>
      <c r="F344" s="35">
        <v>2104182.56</v>
      </c>
      <c r="H344" s="35">
        <v>2080434.46</v>
      </c>
      <c r="J344" s="35">
        <v>-380933.78</v>
      </c>
    </row>
    <row r="345" spans="1:10" ht="15.95" hidden="1" customHeight="1" x14ac:dyDescent="0.2">
      <c r="A345" s="38" t="s">
        <v>567</v>
      </c>
      <c r="B345" s="385" t="s">
        <v>568</v>
      </c>
      <c r="C345" s="386"/>
      <c r="D345" s="386"/>
      <c r="E345" s="35">
        <v>0</v>
      </c>
      <c r="F345" s="35">
        <v>1437</v>
      </c>
      <c r="H345" s="35">
        <v>1437</v>
      </c>
      <c r="J345" s="35">
        <v>0</v>
      </c>
    </row>
    <row r="346" spans="1:10" ht="15.95" hidden="1" customHeight="1" x14ac:dyDescent="0.2">
      <c r="A346" s="38" t="s">
        <v>569</v>
      </c>
      <c r="B346" s="385" t="s">
        <v>570</v>
      </c>
      <c r="C346" s="386"/>
      <c r="D346" s="386"/>
      <c r="E346" s="35">
        <v>0</v>
      </c>
      <c r="F346" s="35">
        <v>70764.990000000005</v>
      </c>
      <c r="H346" s="35">
        <v>70764.990000000005</v>
      </c>
      <c r="J346" s="35">
        <v>0</v>
      </c>
    </row>
    <row r="347" spans="1:10" ht="15.95" hidden="1" customHeight="1" x14ac:dyDescent="0.2">
      <c r="A347" s="38" t="s">
        <v>571</v>
      </c>
      <c r="B347" s="385" t="s">
        <v>572</v>
      </c>
      <c r="C347" s="386"/>
      <c r="D347" s="386"/>
      <c r="E347" s="35">
        <v>0</v>
      </c>
      <c r="F347" s="35">
        <v>10605.84</v>
      </c>
      <c r="H347" s="35">
        <v>10605.84</v>
      </c>
      <c r="J347" s="35">
        <v>0</v>
      </c>
    </row>
    <row r="348" spans="1:10" ht="15.95" hidden="1" customHeight="1" x14ac:dyDescent="0.2">
      <c r="A348" s="38" t="s">
        <v>573</v>
      </c>
      <c r="B348" s="385" t="s">
        <v>574</v>
      </c>
      <c r="C348" s="386"/>
      <c r="D348" s="386"/>
      <c r="E348" s="35">
        <v>-10044.700000000001</v>
      </c>
      <c r="F348" s="35">
        <v>65077.74</v>
      </c>
      <c r="H348" s="35">
        <v>55033.04</v>
      </c>
      <c r="J348" s="35">
        <v>0</v>
      </c>
    </row>
    <row r="349" spans="1:10" ht="15.95" hidden="1" customHeight="1" x14ac:dyDescent="0.2">
      <c r="A349" s="38" t="s">
        <v>575</v>
      </c>
      <c r="B349" s="385" t="s">
        <v>576</v>
      </c>
      <c r="C349" s="386"/>
      <c r="D349" s="386"/>
      <c r="E349" s="35">
        <v>-1600</v>
      </c>
      <c r="F349" s="35">
        <v>11882.66</v>
      </c>
      <c r="H349" s="35">
        <v>12565.32</v>
      </c>
      <c r="J349" s="35">
        <v>-2282.66</v>
      </c>
    </row>
    <row r="350" spans="1:10" ht="15.95" hidden="1" customHeight="1" x14ac:dyDescent="0.2">
      <c r="A350" s="38" t="s">
        <v>1605</v>
      </c>
      <c r="B350" s="385" t="s">
        <v>1606</v>
      </c>
      <c r="C350" s="386"/>
      <c r="D350" s="386"/>
      <c r="E350" s="35">
        <v>-2277.16</v>
      </c>
      <c r="F350" s="35">
        <v>2277.16</v>
      </c>
      <c r="H350" s="35">
        <v>0</v>
      </c>
      <c r="J350" s="35">
        <v>0</v>
      </c>
    </row>
    <row r="351" spans="1:10" ht="15.95" hidden="1" customHeight="1" x14ac:dyDescent="0.2">
      <c r="A351" s="38" t="s">
        <v>1523</v>
      </c>
      <c r="B351" s="385" t="s">
        <v>1524</v>
      </c>
      <c r="C351" s="386"/>
      <c r="D351" s="386"/>
      <c r="E351" s="35">
        <v>-374650.46</v>
      </c>
      <c r="F351" s="35">
        <v>0</v>
      </c>
      <c r="H351" s="35">
        <v>0</v>
      </c>
      <c r="J351" s="35">
        <v>-374650.46</v>
      </c>
    </row>
    <row r="352" spans="1:10" ht="15.95" hidden="1" customHeight="1" x14ac:dyDescent="0.2">
      <c r="A352" s="38" t="s">
        <v>1525</v>
      </c>
      <c r="B352" s="385" t="s">
        <v>1526</v>
      </c>
      <c r="C352" s="386"/>
      <c r="D352" s="386"/>
      <c r="E352" s="35">
        <v>0</v>
      </c>
      <c r="F352" s="35">
        <v>11629.2</v>
      </c>
      <c r="H352" s="35">
        <v>11629.2</v>
      </c>
      <c r="J352" s="35">
        <v>0</v>
      </c>
    </row>
    <row r="353" spans="1:10" ht="15.95" hidden="1" customHeight="1" x14ac:dyDescent="0.2">
      <c r="A353" s="38" t="s">
        <v>577</v>
      </c>
      <c r="B353" s="385" t="s">
        <v>578</v>
      </c>
      <c r="C353" s="386"/>
      <c r="D353" s="386"/>
      <c r="E353" s="35">
        <v>0</v>
      </c>
      <c r="F353" s="35">
        <v>13109</v>
      </c>
      <c r="H353" s="35">
        <v>13109</v>
      </c>
      <c r="J353" s="35">
        <v>0</v>
      </c>
    </row>
    <row r="354" spans="1:10" ht="15.95" hidden="1" customHeight="1" x14ac:dyDescent="0.2">
      <c r="A354" s="38" t="s">
        <v>581</v>
      </c>
      <c r="B354" s="385" t="s">
        <v>582</v>
      </c>
      <c r="C354" s="386"/>
      <c r="D354" s="386"/>
      <c r="E354" s="35">
        <v>0</v>
      </c>
      <c r="F354" s="35">
        <v>1214941.98</v>
      </c>
      <c r="H354" s="35">
        <v>1214941.98</v>
      </c>
      <c r="J354" s="35">
        <v>0</v>
      </c>
    </row>
    <row r="355" spans="1:10" ht="15.95" hidden="1" customHeight="1" x14ac:dyDescent="0.2">
      <c r="A355" s="38" t="s">
        <v>583</v>
      </c>
      <c r="B355" s="385" t="s">
        <v>584</v>
      </c>
      <c r="C355" s="386"/>
      <c r="D355" s="386"/>
      <c r="E355" s="35">
        <v>-3793.16</v>
      </c>
      <c r="F355" s="35">
        <v>0</v>
      </c>
      <c r="H355" s="35">
        <v>0</v>
      </c>
      <c r="J355" s="35">
        <v>-3793.16</v>
      </c>
    </row>
    <row r="356" spans="1:10" ht="15.95" hidden="1" customHeight="1" x14ac:dyDescent="0.2">
      <c r="A356" s="38" t="s">
        <v>585</v>
      </c>
      <c r="B356" s="385" t="s">
        <v>586</v>
      </c>
      <c r="C356" s="386"/>
      <c r="D356" s="386"/>
      <c r="E356" s="35">
        <v>0</v>
      </c>
      <c r="F356" s="35">
        <v>1477.45</v>
      </c>
      <c r="H356" s="35">
        <v>1477.45</v>
      </c>
      <c r="J356" s="35">
        <v>0</v>
      </c>
    </row>
    <row r="357" spans="1:10" ht="15.95" hidden="1" customHeight="1" x14ac:dyDescent="0.2">
      <c r="A357" s="38" t="s">
        <v>1527</v>
      </c>
      <c r="B357" s="385" t="s">
        <v>1528</v>
      </c>
      <c r="C357" s="386"/>
      <c r="D357" s="386"/>
      <c r="E357" s="35">
        <v>0</v>
      </c>
      <c r="F357" s="35">
        <v>502814.28</v>
      </c>
      <c r="H357" s="35">
        <v>502814.28</v>
      </c>
      <c r="J357" s="35">
        <v>0</v>
      </c>
    </row>
    <row r="358" spans="1:10" ht="15.95" hidden="1" customHeight="1" x14ac:dyDescent="0.2">
      <c r="A358" s="38" t="s">
        <v>1607</v>
      </c>
      <c r="B358" s="385" t="s">
        <v>1608</v>
      </c>
      <c r="C358" s="386"/>
      <c r="D358" s="386"/>
      <c r="E358" s="35">
        <v>-10126.4</v>
      </c>
      <c r="F358" s="35">
        <v>10126.4</v>
      </c>
      <c r="H358" s="35">
        <v>0</v>
      </c>
      <c r="J358" s="35">
        <v>0</v>
      </c>
    </row>
    <row r="359" spans="1:10" ht="15.95" hidden="1" customHeight="1" x14ac:dyDescent="0.2">
      <c r="A359" s="38" t="s">
        <v>1529</v>
      </c>
      <c r="B359" s="385" t="s">
        <v>1530</v>
      </c>
      <c r="C359" s="386"/>
      <c r="D359" s="386"/>
      <c r="E359" s="35">
        <v>0</v>
      </c>
      <c r="F359" s="35">
        <v>14300</v>
      </c>
      <c r="H359" s="35">
        <v>14300</v>
      </c>
      <c r="J359" s="35">
        <v>0</v>
      </c>
    </row>
    <row r="360" spans="1:10" ht="15.95" hidden="1" customHeight="1" x14ac:dyDescent="0.2">
      <c r="A360" s="38" t="s">
        <v>1531</v>
      </c>
      <c r="B360" s="385" t="s">
        <v>1532</v>
      </c>
      <c r="C360" s="386"/>
      <c r="D360" s="386"/>
      <c r="E360" s="35">
        <v>0</v>
      </c>
      <c r="F360" s="35">
        <v>10375</v>
      </c>
      <c r="H360" s="35">
        <v>10582.5</v>
      </c>
      <c r="J360" s="35">
        <v>-207.5</v>
      </c>
    </row>
    <row r="361" spans="1:10" ht="15.95" hidden="1" customHeight="1" x14ac:dyDescent="0.2">
      <c r="A361" s="38" t="s">
        <v>1609</v>
      </c>
      <c r="B361" s="385" t="s">
        <v>1610</v>
      </c>
      <c r="C361" s="386"/>
      <c r="D361" s="386"/>
      <c r="E361" s="35">
        <v>-2190</v>
      </c>
      <c r="F361" s="35">
        <v>2190</v>
      </c>
      <c r="H361" s="35">
        <v>0</v>
      </c>
      <c r="J361" s="35">
        <v>0</v>
      </c>
    </row>
    <row r="362" spans="1:10" ht="15.95" hidden="1" customHeight="1" x14ac:dyDescent="0.2">
      <c r="A362" s="38" t="s">
        <v>1611</v>
      </c>
      <c r="B362" s="385" t="s">
        <v>1612</v>
      </c>
      <c r="C362" s="386"/>
      <c r="D362" s="386"/>
      <c r="E362" s="35">
        <v>0</v>
      </c>
      <c r="F362" s="35">
        <v>36000</v>
      </c>
      <c r="H362" s="35">
        <v>36000</v>
      </c>
      <c r="J362" s="35">
        <v>0</v>
      </c>
    </row>
    <row r="363" spans="1:10" ht="15.95" hidden="1" customHeight="1" x14ac:dyDescent="0.2">
      <c r="A363" s="38" t="s">
        <v>1533</v>
      </c>
      <c r="B363" s="385" t="s">
        <v>1534</v>
      </c>
      <c r="C363" s="386"/>
      <c r="D363" s="386"/>
      <c r="E363" s="35">
        <v>0</v>
      </c>
      <c r="F363" s="35">
        <v>7720</v>
      </c>
      <c r="H363" s="35">
        <v>7720</v>
      </c>
      <c r="J363" s="35">
        <v>0</v>
      </c>
    </row>
    <row r="364" spans="1:10" ht="15.95" hidden="1" customHeight="1" x14ac:dyDescent="0.2">
      <c r="A364" s="38" t="s">
        <v>1535</v>
      </c>
      <c r="B364" s="385" t="s">
        <v>1536</v>
      </c>
      <c r="C364" s="386"/>
      <c r="D364" s="386"/>
      <c r="E364" s="35">
        <v>0</v>
      </c>
      <c r="F364" s="35">
        <v>42423.81</v>
      </c>
      <c r="H364" s="35">
        <v>42423.81</v>
      </c>
      <c r="J364" s="35">
        <v>0</v>
      </c>
    </row>
    <row r="365" spans="1:10" ht="15.95" hidden="1" customHeight="1" x14ac:dyDescent="0.2">
      <c r="A365" s="38" t="s">
        <v>1537</v>
      </c>
      <c r="B365" s="385" t="s">
        <v>1538</v>
      </c>
      <c r="C365" s="386"/>
      <c r="D365" s="386"/>
      <c r="E365" s="35">
        <v>0</v>
      </c>
      <c r="F365" s="35">
        <v>70430.05</v>
      </c>
      <c r="H365" s="35">
        <v>70430.05</v>
      </c>
      <c r="J365" s="35">
        <v>0</v>
      </c>
    </row>
    <row r="366" spans="1:10" ht="15.95" hidden="1" customHeight="1" x14ac:dyDescent="0.2">
      <c r="A366" s="38" t="s">
        <v>1539</v>
      </c>
      <c r="B366" s="385" t="s">
        <v>1540</v>
      </c>
      <c r="C366" s="386"/>
      <c r="D366" s="386"/>
      <c r="E366" s="35">
        <v>0</v>
      </c>
      <c r="F366" s="35">
        <v>400</v>
      </c>
      <c r="H366" s="35">
        <v>400</v>
      </c>
      <c r="J366" s="35">
        <v>0</v>
      </c>
    </row>
    <row r="367" spans="1:10" ht="15.95" hidden="1" customHeight="1" x14ac:dyDescent="0.2">
      <c r="A367" s="38" t="s">
        <v>1541</v>
      </c>
      <c r="B367" s="385" t="s">
        <v>1542</v>
      </c>
      <c r="C367" s="386"/>
      <c r="D367" s="386"/>
      <c r="E367" s="35">
        <v>0</v>
      </c>
      <c r="F367" s="35">
        <v>4200</v>
      </c>
      <c r="H367" s="35">
        <v>4200</v>
      </c>
      <c r="J367" s="35">
        <v>0</v>
      </c>
    </row>
    <row r="368" spans="1:10" ht="15.95" hidden="1" customHeight="1" x14ac:dyDescent="0.2">
      <c r="A368" s="38">
        <v>213</v>
      </c>
      <c r="B368" s="385" t="s">
        <v>615</v>
      </c>
      <c r="C368" s="386"/>
      <c r="D368" s="386"/>
      <c r="E368" s="35">
        <v>-1982157.36</v>
      </c>
      <c r="F368" s="35">
        <v>8489319.2100000009</v>
      </c>
      <c r="H368" s="35">
        <v>9230185.8599999994</v>
      </c>
      <c r="J368" s="35">
        <v>-2723024.01</v>
      </c>
    </row>
    <row r="369" spans="1:10" ht="15.95" hidden="1" customHeight="1" x14ac:dyDescent="0.2">
      <c r="A369" s="38">
        <v>21301</v>
      </c>
      <c r="B369" s="385" t="s">
        <v>615</v>
      </c>
      <c r="C369" s="386"/>
      <c r="D369" s="386"/>
      <c r="E369" s="35">
        <v>-1982157.36</v>
      </c>
      <c r="F369" s="35">
        <v>8489319.2100000009</v>
      </c>
      <c r="H369" s="35">
        <v>9230185.8599999994</v>
      </c>
      <c r="J369" s="35">
        <v>-2723024.01</v>
      </c>
    </row>
    <row r="370" spans="1:10" ht="15.95" hidden="1" customHeight="1" x14ac:dyDescent="0.2">
      <c r="A370" s="38">
        <v>2130101</v>
      </c>
      <c r="B370" s="385" t="s">
        <v>615</v>
      </c>
      <c r="C370" s="386"/>
      <c r="D370" s="386"/>
      <c r="E370" s="35">
        <v>-1982157.36</v>
      </c>
      <c r="F370" s="35">
        <v>8489319.2100000009</v>
      </c>
      <c r="H370" s="35">
        <v>9230185.8599999994</v>
      </c>
      <c r="J370" s="35">
        <v>-2723024.01</v>
      </c>
    </row>
    <row r="371" spans="1:10" ht="15.95" hidden="1" customHeight="1" x14ac:dyDescent="0.2">
      <c r="A371" s="38" t="s">
        <v>616</v>
      </c>
      <c r="B371" s="385" t="s">
        <v>617</v>
      </c>
      <c r="C371" s="386"/>
      <c r="D371" s="386"/>
      <c r="E371" s="35">
        <v>0</v>
      </c>
      <c r="F371" s="35">
        <v>6930044.4100000001</v>
      </c>
      <c r="H371" s="35">
        <v>7582835.7699999996</v>
      </c>
      <c r="J371" s="35">
        <v>-652791.36</v>
      </c>
    </row>
    <row r="372" spans="1:10" ht="15.95" hidden="1" customHeight="1" x14ac:dyDescent="0.2">
      <c r="A372" s="38" t="s">
        <v>618</v>
      </c>
      <c r="B372" s="385" t="s">
        <v>619</v>
      </c>
      <c r="C372" s="386"/>
      <c r="D372" s="386"/>
      <c r="E372" s="35">
        <v>0</v>
      </c>
      <c r="F372" s="35">
        <v>1237686.8700000001</v>
      </c>
      <c r="H372" s="35">
        <v>1237686.8700000001</v>
      </c>
      <c r="J372" s="35">
        <v>0</v>
      </c>
    </row>
    <row r="373" spans="1:10" ht="15.95" hidden="1" customHeight="1" x14ac:dyDescent="0.2">
      <c r="A373" s="38" t="s">
        <v>620</v>
      </c>
      <c r="B373" s="385" t="s">
        <v>621</v>
      </c>
      <c r="C373" s="386"/>
      <c r="D373" s="386"/>
      <c r="E373" s="35">
        <v>0</v>
      </c>
      <c r="F373" s="35">
        <v>186540.26</v>
      </c>
      <c r="H373" s="35">
        <v>274765.74</v>
      </c>
      <c r="J373" s="35">
        <v>-88225.48</v>
      </c>
    </row>
    <row r="374" spans="1:10" ht="15.95" hidden="1" customHeight="1" x14ac:dyDescent="0.2">
      <c r="A374" s="38" t="s">
        <v>622</v>
      </c>
      <c r="B374" s="385" t="s">
        <v>623</v>
      </c>
      <c r="C374" s="386"/>
      <c r="D374" s="386"/>
      <c r="E374" s="35">
        <v>-1982157.36</v>
      </c>
      <c r="F374" s="35">
        <v>135047.67000000001</v>
      </c>
      <c r="H374" s="35">
        <v>134897.48000000001</v>
      </c>
      <c r="J374" s="35">
        <v>-1982007.17</v>
      </c>
    </row>
    <row r="375" spans="1:10" ht="15.95" hidden="1" customHeight="1" x14ac:dyDescent="0.2">
      <c r="A375" s="38">
        <v>214</v>
      </c>
      <c r="B375" s="385" t="s">
        <v>628</v>
      </c>
      <c r="C375" s="386"/>
      <c r="D375" s="386"/>
      <c r="E375" s="35">
        <v>-2360319.29</v>
      </c>
      <c r="F375" s="35">
        <v>8891736.5800000001</v>
      </c>
      <c r="H375" s="35">
        <v>8613240.0399999991</v>
      </c>
      <c r="J375" s="35">
        <v>-2081822.75</v>
      </c>
    </row>
    <row r="376" spans="1:10" ht="15.95" hidden="1" customHeight="1" x14ac:dyDescent="0.2">
      <c r="A376" s="38">
        <v>21401</v>
      </c>
      <c r="B376" s="385" t="s">
        <v>628</v>
      </c>
      <c r="C376" s="386"/>
      <c r="D376" s="386"/>
      <c r="E376" s="35">
        <v>-2360319.29</v>
      </c>
      <c r="F376" s="35">
        <v>8891736.5800000001</v>
      </c>
      <c r="H376" s="35">
        <v>8613240.0399999991</v>
      </c>
      <c r="J376" s="35">
        <v>-2081822.75</v>
      </c>
    </row>
    <row r="377" spans="1:10" ht="15.95" hidden="1" customHeight="1" x14ac:dyDescent="0.2">
      <c r="A377" s="38">
        <v>2140101</v>
      </c>
      <c r="B377" s="385" t="s">
        <v>628</v>
      </c>
      <c r="C377" s="386"/>
      <c r="D377" s="386"/>
      <c r="E377" s="35">
        <v>-2360319.29</v>
      </c>
      <c r="F377" s="35">
        <v>8891736.5800000001</v>
      </c>
      <c r="H377" s="35">
        <v>8613240.0399999991</v>
      </c>
      <c r="J377" s="35">
        <v>-2081822.75</v>
      </c>
    </row>
    <row r="378" spans="1:10" ht="15.95" hidden="1" customHeight="1" x14ac:dyDescent="0.2">
      <c r="A378" s="38" t="s">
        <v>629</v>
      </c>
      <c r="B378" s="385" t="s">
        <v>630</v>
      </c>
      <c r="C378" s="386"/>
      <c r="D378" s="386"/>
      <c r="E378" s="35">
        <v>-446315.55</v>
      </c>
      <c r="F378" s="35">
        <v>2609798.27</v>
      </c>
      <c r="H378" s="35">
        <v>2588833.52</v>
      </c>
      <c r="J378" s="35">
        <v>-425350.8</v>
      </c>
    </row>
    <row r="379" spans="1:10" ht="15.95" hidden="1" customHeight="1" x14ac:dyDescent="0.2">
      <c r="A379" s="38" t="s">
        <v>631</v>
      </c>
      <c r="B379" s="385" t="s">
        <v>632</v>
      </c>
      <c r="C379" s="386"/>
      <c r="D379" s="386"/>
      <c r="E379" s="35">
        <v>-166754.6</v>
      </c>
      <c r="F379" s="35">
        <v>729168.68</v>
      </c>
      <c r="H379" s="35">
        <v>662459.6</v>
      </c>
      <c r="J379" s="35">
        <v>-100045.52</v>
      </c>
    </row>
    <row r="380" spans="1:10" ht="27.95" hidden="1" customHeight="1" x14ac:dyDescent="0.2">
      <c r="A380" s="38" t="s">
        <v>633</v>
      </c>
      <c r="B380" s="385" t="s">
        <v>634</v>
      </c>
      <c r="C380" s="386"/>
      <c r="D380" s="386"/>
      <c r="E380" s="35">
        <v>-629815.68000000005</v>
      </c>
      <c r="F380" s="35">
        <v>314907.84000000003</v>
      </c>
      <c r="H380" s="35">
        <v>314907.84000000003</v>
      </c>
      <c r="J380" s="35">
        <v>-629815.68000000005</v>
      </c>
    </row>
    <row r="381" spans="1:10" ht="15.95" hidden="1" customHeight="1" x14ac:dyDescent="0.2">
      <c r="A381" s="38" t="s">
        <v>635</v>
      </c>
      <c r="B381" s="385" t="s">
        <v>636</v>
      </c>
      <c r="C381" s="386"/>
      <c r="D381" s="386"/>
      <c r="E381" s="35">
        <v>-253295.68</v>
      </c>
      <c r="F381" s="35">
        <v>2084312.07</v>
      </c>
      <c r="H381" s="35">
        <v>2132354.7000000002</v>
      </c>
      <c r="J381" s="35">
        <v>-301338.31</v>
      </c>
    </row>
    <row r="382" spans="1:10" ht="15.95" hidden="1" customHeight="1" x14ac:dyDescent="0.2">
      <c r="A382" s="38" t="s">
        <v>637</v>
      </c>
      <c r="B382" s="385" t="s">
        <v>638</v>
      </c>
      <c r="C382" s="386"/>
      <c r="D382" s="386"/>
      <c r="E382" s="35">
        <v>-54889.86</v>
      </c>
      <c r="F382" s="35">
        <v>452049.83</v>
      </c>
      <c r="H382" s="35">
        <v>462347.81</v>
      </c>
      <c r="J382" s="35">
        <v>-65187.839999999997</v>
      </c>
    </row>
    <row r="383" spans="1:10" ht="15.95" hidden="1" customHeight="1" x14ac:dyDescent="0.2">
      <c r="A383" s="38" t="s">
        <v>639</v>
      </c>
      <c r="B383" s="385" t="s">
        <v>640</v>
      </c>
      <c r="C383" s="386"/>
      <c r="D383" s="386"/>
      <c r="E383" s="35">
        <v>1177.45</v>
      </c>
      <c r="F383" s="35">
        <v>99263.72</v>
      </c>
      <c r="H383" s="35">
        <v>100703.28</v>
      </c>
      <c r="J383" s="35">
        <v>-262.11</v>
      </c>
    </row>
    <row r="384" spans="1:10" ht="15.95" hidden="1" customHeight="1" x14ac:dyDescent="0.2">
      <c r="A384" s="38" t="s">
        <v>641</v>
      </c>
      <c r="B384" s="385" t="s">
        <v>642</v>
      </c>
      <c r="C384" s="386"/>
      <c r="D384" s="386"/>
      <c r="E384" s="35">
        <v>-110437.46</v>
      </c>
      <c r="F384" s="35">
        <v>672605.93</v>
      </c>
      <c r="H384" s="35">
        <v>639411.01</v>
      </c>
      <c r="J384" s="35">
        <v>-77242.539999999994</v>
      </c>
    </row>
    <row r="385" spans="1:10" ht="15.95" hidden="1" customHeight="1" x14ac:dyDescent="0.2">
      <c r="A385" s="38" t="s">
        <v>643</v>
      </c>
      <c r="B385" s="385" t="s">
        <v>644</v>
      </c>
      <c r="C385" s="386"/>
      <c r="D385" s="386"/>
      <c r="E385" s="35">
        <v>-43769.34</v>
      </c>
      <c r="F385" s="35">
        <v>247693.4</v>
      </c>
      <c r="H385" s="35">
        <v>236436.95</v>
      </c>
      <c r="J385" s="35">
        <v>-32512.89</v>
      </c>
    </row>
    <row r="386" spans="1:10" ht="15.95" hidden="1" customHeight="1" x14ac:dyDescent="0.2">
      <c r="A386" s="38" t="s">
        <v>645</v>
      </c>
      <c r="B386" s="385" t="s">
        <v>646</v>
      </c>
      <c r="C386" s="386"/>
      <c r="D386" s="386"/>
      <c r="E386" s="35">
        <v>-418461.37</v>
      </c>
      <c r="F386" s="35">
        <v>1055383.1399999999</v>
      </c>
      <c r="H386" s="35">
        <v>856324.87</v>
      </c>
      <c r="J386" s="35">
        <v>-219403.1</v>
      </c>
    </row>
    <row r="387" spans="1:10" ht="15.95" hidden="1" customHeight="1" x14ac:dyDescent="0.2">
      <c r="A387" s="38" t="s">
        <v>647</v>
      </c>
      <c r="B387" s="385" t="s">
        <v>648</v>
      </c>
      <c r="C387" s="386"/>
      <c r="D387" s="386"/>
      <c r="E387" s="35">
        <v>-98361.91</v>
      </c>
      <c r="F387" s="35">
        <v>598591.36</v>
      </c>
      <c r="H387" s="35">
        <v>591498.12</v>
      </c>
      <c r="J387" s="35">
        <v>-91268.67</v>
      </c>
    </row>
    <row r="388" spans="1:10" ht="15.95" hidden="1" customHeight="1" x14ac:dyDescent="0.2">
      <c r="A388" s="38" t="s">
        <v>649</v>
      </c>
      <c r="B388" s="385" t="s">
        <v>650</v>
      </c>
      <c r="C388" s="386"/>
      <c r="D388" s="386"/>
      <c r="E388" s="35">
        <v>-83470.55</v>
      </c>
      <c r="F388" s="35">
        <v>0</v>
      </c>
      <c r="H388" s="35">
        <v>0</v>
      </c>
      <c r="J388" s="35">
        <v>-83470.55</v>
      </c>
    </row>
    <row r="389" spans="1:10" ht="15.95" hidden="1" customHeight="1" x14ac:dyDescent="0.2">
      <c r="A389" s="38" t="s">
        <v>651</v>
      </c>
      <c r="B389" s="385" t="s">
        <v>652</v>
      </c>
      <c r="C389" s="386"/>
      <c r="D389" s="386"/>
      <c r="E389" s="35">
        <v>-55924.74</v>
      </c>
      <c r="F389" s="35">
        <v>27962.34</v>
      </c>
      <c r="H389" s="35">
        <v>27962.34</v>
      </c>
      <c r="J389" s="35">
        <v>-55924.74</v>
      </c>
    </row>
    <row r="390" spans="1:10" ht="15.95" hidden="1" customHeight="1" x14ac:dyDescent="0.2">
      <c r="A390" s="38">
        <v>215</v>
      </c>
      <c r="B390" s="385" t="s">
        <v>655</v>
      </c>
      <c r="C390" s="386"/>
      <c r="D390" s="386"/>
      <c r="E390" s="35">
        <v>-506906.06</v>
      </c>
      <c r="F390" s="35">
        <v>1951308.79</v>
      </c>
      <c r="H390" s="35">
        <v>1758137.6</v>
      </c>
      <c r="J390" s="35">
        <v>-313734.87</v>
      </c>
    </row>
    <row r="391" spans="1:10" ht="15.95" hidden="1" customHeight="1" x14ac:dyDescent="0.2">
      <c r="A391" s="38">
        <v>21501</v>
      </c>
      <c r="B391" s="385" t="s">
        <v>655</v>
      </c>
      <c r="C391" s="386"/>
      <c r="D391" s="386"/>
      <c r="E391" s="35">
        <v>-506906.06</v>
      </c>
      <c r="F391" s="35">
        <v>1951308.79</v>
      </c>
      <c r="H391" s="35">
        <v>1758137.6</v>
      </c>
      <c r="J391" s="35">
        <v>-313734.87</v>
      </c>
    </row>
    <row r="392" spans="1:10" ht="15.95" hidden="1" customHeight="1" x14ac:dyDescent="0.2">
      <c r="A392" s="38">
        <v>2150101</v>
      </c>
      <c r="B392" s="385" t="s">
        <v>656</v>
      </c>
      <c r="C392" s="386"/>
      <c r="D392" s="386"/>
      <c r="E392" s="35">
        <v>-462174.06</v>
      </c>
      <c r="F392" s="35">
        <v>1670871.74</v>
      </c>
      <c r="H392" s="35">
        <v>1473371.98</v>
      </c>
      <c r="J392" s="35">
        <v>-264674.3</v>
      </c>
    </row>
    <row r="393" spans="1:10" ht="15.95" hidden="1" customHeight="1" x14ac:dyDescent="0.2">
      <c r="A393" s="38" t="s">
        <v>657</v>
      </c>
      <c r="B393" s="385" t="s">
        <v>658</v>
      </c>
      <c r="C393" s="386"/>
      <c r="D393" s="386"/>
      <c r="E393" s="35">
        <v>0</v>
      </c>
      <c r="F393" s="35">
        <v>600</v>
      </c>
      <c r="H393" s="35">
        <v>720</v>
      </c>
      <c r="J393" s="35">
        <v>-120</v>
      </c>
    </row>
    <row r="394" spans="1:10" ht="15.95" hidden="1" customHeight="1" x14ac:dyDescent="0.2">
      <c r="A394" s="38" t="s">
        <v>659</v>
      </c>
      <c r="B394" s="385" t="s">
        <v>660</v>
      </c>
      <c r="C394" s="386"/>
      <c r="D394" s="386"/>
      <c r="E394" s="35">
        <v>-453702.96</v>
      </c>
      <c r="F394" s="35">
        <v>1451189.35</v>
      </c>
      <c r="H394" s="35">
        <v>1217968.48</v>
      </c>
      <c r="J394" s="35">
        <v>-220482.09</v>
      </c>
    </row>
    <row r="395" spans="1:10" ht="15.95" hidden="1" customHeight="1" x14ac:dyDescent="0.2">
      <c r="A395" s="38" t="s">
        <v>661</v>
      </c>
      <c r="B395" s="385" t="s">
        <v>662</v>
      </c>
      <c r="C395" s="386"/>
      <c r="D395" s="386"/>
      <c r="E395" s="35">
        <v>-3875.02</v>
      </c>
      <c r="F395" s="35">
        <v>10965.42</v>
      </c>
      <c r="H395" s="35">
        <v>9959.51</v>
      </c>
      <c r="J395" s="35">
        <v>-2869.11</v>
      </c>
    </row>
    <row r="396" spans="1:10" ht="15.95" hidden="1" customHeight="1" x14ac:dyDescent="0.2">
      <c r="A396" s="38" t="s">
        <v>663</v>
      </c>
      <c r="B396" s="385" t="s">
        <v>664</v>
      </c>
      <c r="C396" s="386"/>
      <c r="D396" s="386"/>
      <c r="E396" s="35">
        <v>0</v>
      </c>
      <c r="F396" s="35">
        <v>2640.47</v>
      </c>
      <c r="H396" s="35">
        <v>3178.05</v>
      </c>
      <c r="J396" s="35">
        <v>-537.58000000000004</v>
      </c>
    </row>
    <row r="397" spans="1:10" ht="15.95" hidden="1" customHeight="1" x14ac:dyDescent="0.2">
      <c r="A397" s="38" t="s">
        <v>665</v>
      </c>
      <c r="B397" s="385" t="s">
        <v>666</v>
      </c>
      <c r="C397" s="386"/>
      <c r="D397" s="386"/>
      <c r="E397" s="35">
        <v>0</v>
      </c>
      <c r="F397" s="35">
        <v>2389.5</v>
      </c>
      <c r="H397" s="35">
        <v>2871.32</v>
      </c>
      <c r="J397" s="35">
        <v>-481.82</v>
      </c>
    </row>
    <row r="398" spans="1:10" ht="15.95" hidden="1" customHeight="1" x14ac:dyDescent="0.2">
      <c r="A398" s="38" t="s">
        <v>667</v>
      </c>
      <c r="B398" s="385" t="s">
        <v>668</v>
      </c>
      <c r="C398" s="386"/>
      <c r="D398" s="386"/>
      <c r="E398" s="35">
        <v>-2448.29</v>
      </c>
      <c r="F398" s="35">
        <v>9793.16</v>
      </c>
      <c r="H398" s="35">
        <v>7344.87</v>
      </c>
      <c r="J398" s="35">
        <v>0</v>
      </c>
    </row>
    <row r="399" spans="1:10" ht="15.95" hidden="1" customHeight="1" x14ac:dyDescent="0.2">
      <c r="A399" s="38" t="s">
        <v>669</v>
      </c>
      <c r="B399" s="385" t="s">
        <v>670</v>
      </c>
      <c r="C399" s="386"/>
      <c r="D399" s="386"/>
      <c r="E399" s="35">
        <v>-275.76</v>
      </c>
      <c r="F399" s="35">
        <v>155838.65</v>
      </c>
      <c r="H399" s="35">
        <v>179585.53</v>
      </c>
      <c r="J399" s="35">
        <v>-24022.639999999999</v>
      </c>
    </row>
    <row r="400" spans="1:10" ht="15.95" hidden="1" customHeight="1" x14ac:dyDescent="0.2">
      <c r="A400" s="38" t="s">
        <v>671</v>
      </c>
      <c r="B400" s="385" t="s">
        <v>672</v>
      </c>
      <c r="C400" s="386"/>
      <c r="D400" s="386"/>
      <c r="E400" s="35">
        <v>0</v>
      </c>
      <c r="F400" s="35">
        <v>27574.36</v>
      </c>
      <c r="H400" s="35">
        <v>42407.78</v>
      </c>
      <c r="J400" s="35">
        <v>-14833.42</v>
      </c>
    </row>
    <row r="401" spans="1:10" ht="15.95" hidden="1" customHeight="1" x14ac:dyDescent="0.2">
      <c r="A401" s="38" t="s">
        <v>673</v>
      </c>
      <c r="B401" s="385" t="s">
        <v>674</v>
      </c>
      <c r="C401" s="386"/>
      <c r="D401" s="386"/>
      <c r="E401" s="35">
        <v>-600</v>
      </c>
      <c r="F401" s="35">
        <v>1200</v>
      </c>
      <c r="H401" s="35">
        <v>1400</v>
      </c>
      <c r="J401" s="35">
        <v>-800</v>
      </c>
    </row>
    <row r="402" spans="1:10" ht="15.95" hidden="1" customHeight="1" x14ac:dyDescent="0.2">
      <c r="A402" s="38" t="s">
        <v>675</v>
      </c>
      <c r="B402" s="385" t="s">
        <v>676</v>
      </c>
      <c r="C402" s="386"/>
      <c r="D402" s="386"/>
      <c r="E402" s="35">
        <v>-47.2</v>
      </c>
      <c r="F402" s="35">
        <v>236</v>
      </c>
      <c r="H402" s="35">
        <v>283.2</v>
      </c>
      <c r="J402" s="35">
        <v>-94.4</v>
      </c>
    </row>
    <row r="403" spans="1:10" ht="15.95" hidden="1" customHeight="1" x14ac:dyDescent="0.2">
      <c r="A403" s="38" t="s">
        <v>677</v>
      </c>
      <c r="B403" s="385" t="s">
        <v>678</v>
      </c>
      <c r="C403" s="386"/>
      <c r="D403" s="386"/>
      <c r="E403" s="35">
        <v>-1224.83</v>
      </c>
      <c r="F403" s="35">
        <v>8444.83</v>
      </c>
      <c r="H403" s="35">
        <v>7653.24</v>
      </c>
      <c r="J403" s="35">
        <v>-433.24</v>
      </c>
    </row>
    <row r="404" spans="1:10" ht="15.95" hidden="1" customHeight="1" x14ac:dyDescent="0.2">
      <c r="A404" s="38">
        <v>2150102</v>
      </c>
      <c r="B404" s="385" t="s">
        <v>679</v>
      </c>
      <c r="C404" s="386"/>
      <c r="D404" s="386"/>
      <c r="E404" s="35">
        <v>-44732</v>
      </c>
      <c r="F404" s="35">
        <v>280437.05</v>
      </c>
      <c r="H404" s="35">
        <v>284765.62</v>
      </c>
      <c r="J404" s="35">
        <v>-49060.57</v>
      </c>
    </row>
    <row r="405" spans="1:10" ht="15.95" hidden="1" customHeight="1" x14ac:dyDescent="0.2">
      <c r="A405" s="38" t="s">
        <v>680</v>
      </c>
      <c r="B405" s="385" t="s">
        <v>681</v>
      </c>
      <c r="C405" s="386"/>
      <c r="D405" s="386"/>
      <c r="E405" s="35">
        <v>-35831</v>
      </c>
      <c r="F405" s="35">
        <v>202049.35</v>
      </c>
      <c r="H405" s="35">
        <v>200142.6</v>
      </c>
      <c r="J405" s="35">
        <v>-33924.25</v>
      </c>
    </row>
    <row r="406" spans="1:10" ht="15.95" hidden="1" customHeight="1" x14ac:dyDescent="0.2">
      <c r="A406" s="38" t="s">
        <v>682</v>
      </c>
      <c r="B406" s="385" t="s">
        <v>683</v>
      </c>
      <c r="C406" s="386"/>
      <c r="D406" s="386"/>
      <c r="E406" s="35">
        <v>-8901</v>
      </c>
      <c r="F406" s="35">
        <v>57268</v>
      </c>
      <c r="H406" s="35">
        <v>60180.08</v>
      </c>
      <c r="J406" s="35">
        <v>-11813.08</v>
      </c>
    </row>
    <row r="407" spans="1:10" ht="15.95" hidden="1" customHeight="1" x14ac:dyDescent="0.2">
      <c r="A407" s="38" t="s">
        <v>684</v>
      </c>
      <c r="B407" s="385" t="s">
        <v>685</v>
      </c>
      <c r="C407" s="386"/>
      <c r="D407" s="386"/>
      <c r="E407" s="35">
        <v>0</v>
      </c>
      <c r="F407" s="35">
        <v>21119.7</v>
      </c>
      <c r="H407" s="35">
        <v>24442.94</v>
      </c>
      <c r="J407" s="35">
        <v>-3323.24</v>
      </c>
    </row>
    <row r="408" spans="1:10" ht="15.95" hidden="1" customHeight="1" x14ac:dyDescent="0.2">
      <c r="A408" s="38">
        <v>217</v>
      </c>
      <c r="B408" s="385" t="s">
        <v>686</v>
      </c>
      <c r="C408" s="386"/>
      <c r="D408" s="386"/>
      <c r="E408" s="35">
        <v>-4679363.9000000004</v>
      </c>
      <c r="F408" s="35">
        <v>1226222.55</v>
      </c>
      <c r="H408" s="35">
        <v>394765.86</v>
      </c>
      <c r="J408" s="35">
        <v>-3847907.21</v>
      </c>
    </row>
    <row r="409" spans="1:10" ht="15.95" hidden="1" customHeight="1" x14ac:dyDescent="0.2">
      <c r="A409" s="38">
        <v>21701</v>
      </c>
      <c r="B409" s="385" t="s">
        <v>686</v>
      </c>
      <c r="C409" s="386"/>
      <c r="D409" s="386"/>
      <c r="E409" s="35">
        <v>-4679363.9000000004</v>
      </c>
      <c r="F409" s="35">
        <v>1226222.55</v>
      </c>
      <c r="H409" s="35">
        <v>394765.86</v>
      </c>
      <c r="J409" s="35">
        <v>-3847907.21</v>
      </c>
    </row>
    <row r="410" spans="1:10" ht="15.95" hidden="1" customHeight="1" x14ac:dyDescent="0.2">
      <c r="A410" s="38">
        <v>2170101</v>
      </c>
      <c r="B410" s="385" t="s">
        <v>687</v>
      </c>
      <c r="C410" s="386"/>
      <c r="D410" s="386"/>
      <c r="E410" s="35">
        <v>-23810.44</v>
      </c>
      <c r="F410" s="35">
        <v>16062</v>
      </c>
      <c r="H410" s="35">
        <v>16062</v>
      </c>
      <c r="J410" s="35">
        <v>-23810.44</v>
      </c>
    </row>
    <row r="411" spans="1:10" ht="15.95" hidden="1" customHeight="1" x14ac:dyDescent="0.2">
      <c r="A411" s="38" t="s">
        <v>688</v>
      </c>
      <c r="B411" s="385" t="s">
        <v>689</v>
      </c>
      <c r="C411" s="386"/>
      <c r="D411" s="386"/>
      <c r="E411" s="35">
        <v>-6700</v>
      </c>
      <c r="F411" s="35">
        <v>0</v>
      </c>
      <c r="H411" s="35">
        <v>0</v>
      </c>
      <c r="J411" s="35">
        <v>-6700</v>
      </c>
    </row>
    <row r="412" spans="1:10" ht="15.95" hidden="1" customHeight="1" x14ac:dyDescent="0.2">
      <c r="A412" s="38" t="s">
        <v>690</v>
      </c>
      <c r="B412" s="385" t="s">
        <v>691</v>
      </c>
      <c r="C412" s="386"/>
      <c r="D412" s="386"/>
      <c r="E412" s="35">
        <v>-3115</v>
      </c>
      <c r="F412" s="35">
        <v>0</v>
      </c>
      <c r="H412" s="35">
        <v>0</v>
      </c>
      <c r="J412" s="35">
        <v>-3115</v>
      </c>
    </row>
    <row r="413" spans="1:10" ht="15.95" hidden="1" customHeight="1" x14ac:dyDescent="0.2">
      <c r="A413" s="38" t="s">
        <v>692</v>
      </c>
      <c r="B413" s="385" t="s">
        <v>693</v>
      </c>
      <c r="C413" s="386"/>
      <c r="D413" s="386"/>
      <c r="E413" s="35">
        <v>-2856</v>
      </c>
      <c r="F413" s="35">
        <v>0</v>
      </c>
      <c r="H413" s="35">
        <v>0</v>
      </c>
      <c r="J413" s="35">
        <v>-2856</v>
      </c>
    </row>
    <row r="414" spans="1:10" ht="15.95" hidden="1" customHeight="1" x14ac:dyDescent="0.2">
      <c r="A414" s="38" t="s">
        <v>694</v>
      </c>
      <c r="B414" s="385" t="s">
        <v>695</v>
      </c>
      <c r="C414" s="386"/>
      <c r="D414" s="386"/>
      <c r="E414" s="35">
        <v>-2000</v>
      </c>
      <c r="F414" s="35">
        <v>0</v>
      </c>
      <c r="H414" s="35">
        <v>0</v>
      </c>
      <c r="J414" s="35">
        <v>-2000</v>
      </c>
    </row>
    <row r="415" spans="1:10" ht="15.95" hidden="1" customHeight="1" x14ac:dyDescent="0.2">
      <c r="A415" s="38" t="s">
        <v>696</v>
      </c>
      <c r="B415" s="385" t="s">
        <v>697</v>
      </c>
      <c r="C415" s="386"/>
      <c r="D415" s="386"/>
      <c r="E415" s="35">
        <v>-5899.2</v>
      </c>
      <c r="F415" s="35">
        <v>0</v>
      </c>
      <c r="H415" s="35">
        <v>0</v>
      </c>
      <c r="J415" s="35">
        <v>-5899.2</v>
      </c>
    </row>
    <row r="416" spans="1:10" ht="15.95" hidden="1" customHeight="1" x14ac:dyDescent="0.2">
      <c r="A416" s="38" t="s">
        <v>698</v>
      </c>
      <c r="B416" s="385" t="s">
        <v>699</v>
      </c>
      <c r="C416" s="386"/>
      <c r="D416" s="386"/>
      <c r="E416" s="35">
        <v>-840.24</v>
      </c>
      <c r="F416" s="35">
        <v>0</v>
      </c>
      <c r="H416" s="35">
        <v>0</v>
      </c>
      <c r="J416" s="35">
        <v>-840.24</v>
      </c>
    </row>
    <row r="417" spans="1:10" ht="15.95" hidden="1" customHeight="1" x14ac:dyDescent="0.2">
      <c r="A417" s="38" t="s">
        <v>700</v>
      </c>
      <c r="B417" s="385" t="s">
        <v>701</v>
      </c>
      <c r="C417" s="386"/>
      <c r="D417" s="386"/>
      <c r="E417" s="35">
        <v>-2400</v>
      </c>
      <c r="F417" s="35">
        <v>16062</v>
      </c>
      <c r="H417" s="35">
        <v>16062</v>
      </c>
      <c r="J417" s="35">
        <v>-2400</v>
      </c>
    </row>
    <row r="418" spans="1:10" ht="15.95" hidden="1" customHeight="1" x14ac:dyDescent="0.2">
      <c r="A418" s="38">
        <v>2170102</v>
      </c>
      <c r="B418" s="385" t="s">
        <v>710</v>
      </c>
      <c r="C418" s="386"/>
      <c r="D418" s="386"/>
      <c r="E418" s="35">
        <v>-1870407.09</v>
      </c>
      <c r="F418" s="35">
        <v>1203001.43</v>
      </c>
      <c r="H418" s="35">
        <v>369751.19</v>
      </c>
      <c r="J418" s="35">
        <v>-1037156.85</v>
      </c>
    </row>
    <row r="419" spans="1:10" ht="15.95" hidden="1" customHeight="1" x14ac:dyDescent="0.2">
      <c r="A419" s="38" t="s">
        <v>711</v>
      </c>
      <c r="B419" s="385" t="s">
        <v>712</v>
      </c>
      <c r="C419" s="386"/>
      <c r="D419" s="386"/>
      <c r="E419" s="35">
        <v>-482690.42</v>
      </c>
      <c r="F419" s="35">
        <v>0</v>
      </c>
      <c r="H419" s="35">
        <v>0</v>
      </c>
      <c r="J419" s="35">
        <v>-482690.42</v>
      </c>
    </row>
    <row r="420" spans="1:10" ht="15.95" hidden="1" customHeight="1" x14ac:dyDescent="0.2">
      <c r="A420" s="38" t="s">
        <v>713</v>
      </c>
      <c r="B420" s="385" t="s">
        <v>714</v>
      </c>
      <c r="C420" s="386"/>
      <c r="D420" s="386"/>
      <c r="E420" s="35">
        <v>-34.72</v>
      </c>
      <c r="F420" s="35">
        <v>0</v>
      </c>
      <c r="H420" s="35">
        <v>0</v>
      </c>
      <c r="J420" s="35">
        <v>-34.72</v>
      </c>
    </row>
    <row r="421" spans="1:10" ht="15.95" hidden="1" customHeight="1" x14ac:dyDescent="0.2">
      <c r="A421" s="38" t="s">
        <v>715</v>
      </c>
      <c r="B421" s="385" t="s">
        <v>716</v>
      </c>
      <c r="C421" s="386"/>
      <c r="D421" s="386"/>
      <c r="E421" s="35">
        <v>-1469</v>
      </c>
      <c r="F421" s="35">
        <v>0</v>
      </c>
      <c r="H421" s="35">
        <v>10249.89</v>
      </c>
      <c r="J421" s="35">
        <v>-11718.89</v>
      </c>
    </row>
    <row r="422" spans="1:10" ht="15.95" hidden="1" customHeight="1" x14ac:dyDescent="0.2">
      <c r="A422" s="38" t="s">
        <v>717</v>
      </c>
      <c r="B422" s="385" t="s">
        <v>718</v>
      </c>
      <c r="C422" s="386"/>
      <c r="D422" s="386"/>
      <c r="E422" s="35">
        <v>-229.87</v>
      </c>
      <c r="F422" s="35">
        <v>0</v>
      </c>
      <c r="H422" s="35">
        <v>0</v>
      </c>
      <c r="J422" s="35">
        <v>-229.87</v>
      </c>
    </row>
    <row r="423" spans="1:10" ht="15.95" hidden="1" customHeight="1" x14ac:dyDescent="0.2">
      <c r="A423" s="38" t="s">
        <v>719</v>
      </c>
      <c r="B423" s="385" t="s">
        <v>720</v>
      </c>
      <c r="C423" s="386"/>
      <c r="D423" s="386"/>
      <c r="E423" s="35">
        <v>-3084.5</v>
      </c>
      <c r="F423" s="35">
        <v>0</v>
      </c>
      <c r="H423" s="35">
        <v>0</v>
      </c>
      <c r="J423" s="35">
        <v>-3084.5</v>
      </c>
    </row>
    <row r="424" spans="1:10" ht="15.95" hidden="1" customHeight="1" x14ac:dyDescent="0.2">
      <c r="A424" s="38" t="s">
        <v>721</v>
      </c>
      <c r="B424" s="385" t="s">
        <v>722</v>
      </c>
      <c r="C424" s="386"/>
      <c r="D424" s="386"/>
      <c r="E424" s="35">
        <v>-105.52</v>
      </c>
      <c r="F424" s="35">
        <v>0</v>
      </c>
      <c r="H424" s="35">
        <v>0</v>
      </c>
      <c r="J424" s="35">
        <v>-105.52</v>
      </c>
    </row>
    <row r="425" spans="1:10" ht="15.95" hidden="1" customHeight="1" x14ac:dyDescent="0.2">
      <c r="A425" s="38" t="s">
        <v>723</v>
      </c>
      <c r="B425" s="385" t="s">
        <v>724</v>
      </c>
      <c r="C425" s="386"/>
      <c r="D425" s="386"/>
      <c r="E425" s="35">
        <v>-300000</v>
      </c>
      <c r="F425" s="35">
        <v>364837.23</v>
      </c>
      <c r="H425" s="35">
        <v>64837.23</v>
      </c>
      <c r="J425" s="35">
        <v>0</v>
      </c>
    </row>
    <row r="426" spans="1:10" ht="15.95" hidden="1" customHeight="1" x14ac:dyDescent="0.2">
      <c r="A426" s="38" t="s">
        <v>725</v>
      </c>
      <c r="B426" s="385" t="s">
        <v>726</v>
      </c>
      <c r="C426" s="386"/>
      <c r="D426" s="386"/>
      <c r="E426" s="35">
        <v>-196.05</v>
      </c>
      <c r="F426" s="35">
        <v>0</v>
      </c>
      <c r="H426" s="35">
        <v>0</v>
      </c>
      <c r="J426" s="35">
        <v>-196.05</v>
      </c>
    </row>
    <row r="427" spans="1:10" ht="15.95" hidden="1" customHeight="1" x14ac:dyDescent="0.2">
      <c r="A427" s="38" t="s">
        <v>727</v>
      </c>
      <c r="B427" s="385" t="s">
        <v>728</v>
      </c>
      <c r="C427" s="386"/>
      <c r="D427" s="386"/>
      <c r="E427" s="35">
        <v>-304.98</v>
      </c>
      <c r="F427" s="35">
        <v>0</v>
      </c>
      <c r="H427" s="35">
        <v>0</v>
      </c>
      <c r="J427" s="35">
        <v>-304.98</v>
      </c>
    </row>
    <row r="428" spans="1:10" ht="15.95" hidden="1" customHeight="1" x14ac:dyDescent="0.2">
      <c r="A428" s="38" t="s">
        <v>729</v>
      </c>
      <c r="B428" s="385" t="s">
        <v>730</v>
      </c>
      <c r="C428" s="386"/>
      <c r="D428" s="386"/>
      <c r="E428" s="35">
        <v>-6</v>
      </c>
      <c r="F428" s="35">
        <v>0</v>
      </c>
      <c r="H428" s="35">
        <v>0</v>
      </c>
      <c r="J428" s="35">
        <v>-6</v>
      </c>
    </row>
    <row r="429" spans="1:10" ht="15.95" hidden="1" customHeight="1" x14ac:dyDescent="0.2">
      <c r="A429" s="38" t="s">
        <v>731</v>
      </c>
      <c r="B429" s="385" t="s">
        <v>732</v>
      </c>
      <c r="C429" s="386"/>
      <c r="D429" s="386"/>
      <c r="E429" s="35">
        <v>-203708.46</v>
      </c>
      <c r="F429" s="35">
        <v>304193.13</v>
      </c>
      <c r="H429" s="35">
        <v>101397.11</v>
      </c>
      <c r="J429" s="35">
        <v>-912.44</v>
      </c>
    </row>
    <row r="430" spans="1:10" ht="15.95" hidden="1" customHeight="1" x14ac:dyDescent="0.2">
      <c r="A430" s="38" t="s">
        <v>733</v>
      </c>
      <c r="B430" s="385" t="s">
        <v>734</v>
      </c>
      <c r="C430" s="386"/>
      <c r="D430" s="386"/>
      <c r="E430" s="35">
        <v>0</v>
      </c>
      <c r="F430" s="35">
        <v>2775.25</v>
      </c>
      <c r="H430" s="35">
        <v>3984.3</v>
      </c>
      <c r="J430" s="35">
        <v>-1209.05</v>
      </c>
    </row>
    <row r="431" spans="1:10" ht="15.95" hidden="1" customHeight="1" x14ac:dyDescent="0.2">
      <c r="A431" s="38" t="s">
        <v>735</v>
      </c>
      <c r="B431" s="385" t="s">
        <v>736</v>
      </c>
      <c r="C431" s="386"/>
      <c r="D431" s="386"/>
      <c r="E431" s="35">
        <v>-76.84</v>
      </c>
      <c r="F431" s="35">
        <v>0</v>
      </c>
      <c r="H431" s="35">
        <v>0</v>
      </c>
      <c r="J431" s="35">
        <v>-76.84</v>
      </c>
    </row>
    <row r="432" spans="1:10" ht="15.95" hidden="1" customHeight="1" x14ac:dyDescent="0.2">
      <c r="A432" s="38" t="s">
        <v>737</v>
      </c>
      <c r="B432" s="385" t="s">
        <v>738</v>
      </c>
      <c r="C432" s="386"/>
      <c r="D432" s="386"/>
      <c r="E432" s="35">
        <v>-144.33000000000001</v>
      </c>
      <c r="F432" s="35">
        <v>0</v>
      </c>
      <c r="H432" s="35">
        <v>0</v>
      </c>
      <c r="J432" s="35">
        <v>-144.33000000000001</v>
      </c>
    </row>
    <row r="433" spans="1:10" ht="15.95" hidden="1" customHeight="1" x14ac:dyDescent="0.2">
      <c r="A433" s="38" t="s">
        <v>739</v>
      </c>
      <c r="B433" s="385" t="s">
        <v>740</v>
      </c>
      <c r="C433" s="386"/>
      <c r="D433" s="386"/>
      <c r="E433" s="35">
        <v>-175.2</v>
      </c>
      <c r="F433" s="35">
        <v>0</v>
      </c>
      <c r="H433" s="35">
        <v>0</v>
      </c>
      <c r="J433" s="35">
        <v>-175.2</v>
      </c>
    </row>
    <row r="434" spans="1:10" ht="27.95" hidden="1" customHeight="1" x14ac:dyDescent="0.2">
      <c r="A434" s="38" t="s">
        <v>741</v>
      </c>
      <c r="B434" s="385" t="s">
        <v>742</v>
      </c>
      <c r="C434" s="386"/>
      <c r="D434" s="386"/>
      <c r="E434" s="35">
        <v>-436.29</v>
      </c>
      <c r="F434" s="35">
        <v>0</v>
      </c>
      <c r="H434" s="35">
        <v>0</v>
      </c>
      <c r="J434" s="35">
        <v>-436.29</v>
      </c>
    </row>
    <row r="435" spans="1:10" ht="15.95" hidden="1" customHeight="1" x14ac:dyDescent="0.2">
      <c r="A435" s="38" t="s">
        <v>743</v>
      </c>
      <c r="B435" s="385" t="s">
        <v>744</v>
      </c>
      <c r="C435" s="386"/>
      <c r="D435" s="386"/>
      <c r="E435" s="35">
        <v>-67.010000000000005</v>
      </c>
      <c r="F435" s="35">
        <v>0</v>
      </c>
      <c r="H435" s="35">
        <v>0</v>
      </c>
      <c r="J435" s="35">
        <v>-67.010000000000005</v>
      </c>
    </row>
    <row r="436" spans="1:10" ht="15.95" hidden="1" customHeight="1" x14ac:dyDescent="0.2">
      <c r="A436" s="38" t="s">
        <v>745</v>
      </c>
      <c r="B436" s="385" t="s">
        <v>746</v>
      </c>
      <c r="C436" s="386"/>
      <c r="D436" s="386"/>
      <c r="E436" s="35">
        <v>-4644.84</v>
      </c>
      <c r="F436" s="35">
        <v>0</v>
      </c>
      <c r="H436" s="35">
        <v>0</v>
      </c>
      <c r="J436" s="35">
        <v>-4644.84</v>
      </c>
    </row>
    <row r="437" spans="1:10" ht="15.95" hidden="1" customHeight="1" x14ac:dyDescent="0.2">
      <c r="A437" s="38" t="s">
        <v>747</v>
      </c>
      <c r="B437" s="385" t="s">
        <v>748</v>
      </c>
      <c r="C437" s="386"/>
      <c r="D437" s="386"/>
      <c r="E437" s="35">
        <v>-423.16</v>
      </c>
      <c r="F437" s="35">
        <v>0</v>
      </c>
      <c r="H437" s="35">
        <v>0</v>
      </c>
      <c r="J437" s="35">
        <v>-423.16</v>
      </c>
    </row>
    <row r="438" spans="1:10" ht="15.95" hidden="1" customHeight="1" x14ac:dyDescent="0.2">
      <c r="A438" s="38" t="s">
        <v>749</v>
      </c>
      <c r="B438" s="385" t="s">
        <v>750</v>
      </c>
      <c r="C438" s="386"/>
      <c r="D438" s="386"/>
      <c r="E438" s="35">
        <v>-904.46</v>
      </c>
      <c r="F438" s="35">
        <v>0</v>
      </c>
      <c r="H438" s="35">
        <v>0</v>
      </c>
      <c r="J438" s="35">
        <v>-904.46</v>
      </c>
    </row>
    <row r="439" spans="1:10" ht="15.95" hidden="1" customHeight="1" x14ac:dyDescent="0.2">
      <c r="A439" s="38" t="s">
        <v>751</v>
      </c>
      <c r="B439" s="385" t="s">
        <v>752</v>
      </c>
      <c r="C439" s="386"/>
      <c r="D439" s="386"/>
      <c r="E439" s="35">
        <v>-76.56</v>
      </c>
      <c r="F439" s="35">
        <v>0</v>
      </c>
      <c r="H439" s="35">
        <v>0</v>
      </c>
      <c r="J439" s="35">
        <v>-76.56</v>
      </c>
    </row>
    <row r="440" spans="1:10" ht="15.95" hidden="1" customHeight="1" x14ac:dyDescent="0.2">
      <c r="A440" s="38" t="s">
        <v>753</v>
      </c>
      <c r="B440" s="385" t="s">
        <v>754</v>
      </c>
      <c r="C440" s="386"/>
      <c r="D440" s="386"/>
      <c r="E440" s="35">
        <v>-2843.92</v>
      </c>
      <c r="F440" s="35">
        <v>0</v>
      </c>
      <c r="H440" s="35">
        <v>0</v>
      </c>
      <c r="J440" s="35">
        <v>-2843.92</v>
      </c>
    </row>
    <row r="441" spans="1:10" ht="15.95" hidden="1" customHeight="1" x14ac:dyDescent="0.2">
      <c r="A441" s="38" t="s">
        <v>755</v>
      </c>
      <c r="B441" s="385" t="s">
        <v>756</v>
      </c>
      <c r="C441" s="386"/>
      <c r="D441" s="386"/>
      <c r="E441" s="35">
        <v>-274.92</v>
      </c>
      <c r="F441" s="35">
        <v>0</v>
      </c>
      <c r="H441" s="35">
        <v>0</v>
      </c>
      <c r="J441" s="35">
        <v>-274.92</v>
      </c>
    </row>
    <row r="442" spans="1:10" ht="15.95" hidden="1" customHeight="1" x14ac:dyDescent="0.2">
      <c r="A442" s="38" t="s">
        <v>757</v>
      </c>
      <c r="B442" s="385" t="s">
        <v>758</v>
      </c>
      <c r="C442" s="386"/>
      <c r="D442" s="386"/>
      <c r="E442" s="35">
        <v>-247</v>
      </c>
      <c r="F442" s="35">
        <v>0</v>
      </c>
      <c r="H442" s="35">
        <v>0</v>
      </c>
      <c r="J442" s="35">
        <v>-247</v>
      </c>
    </row>
    <row r="443" spans="1:10" ht="15.95" hidden="1" customHeight="1" x14ac:dyDescent="0.2">
      <c r="A443" s="38" t="s">
        <v>759</v>
      </c>
      <c r="B443" s="385" t="s">
        <v>760</v>
      </c>
      <c r="C443" s="386"/>
      <c r="D443" s="386"/>
      <c r="E443" s="35">
        <v>-22698.47</v>
      </c>
      <c r="F443" s="35">
        <v>0</v>
      </c>
      <c r="H443" s="35">
        <v>0</v>
      </c>
      <c r="J443" s="35">
        <v>-22698.47</v>
      </c>
    </row>
    <row r="444" spans="1:10" ht="15.95" hidden="1" customHeight="1" x14ac:dyDescent="0.2">
      <c r="A444" s="38" t="s">
        <v>761</v>
      </c>
      <c r="B444" s="385" t="s">
        <v>762</v>
      </c>
      <c r="C444" s="386"/>
      <c r="D444" s="386"/>
      <c r="E444" s="35">
        <v>-338.57</v>
      </c>
      <c r="F444" s="35">
        <v>0</v>
      </c>
      <c r="H444" s="35">
        <v>0</v>
      </c>
      <c r="J444" s="35">
        <v>-338.57</v>
      </c>
    </row>
    <row r="445" spans="1:10" ht="15.95" hidden="1" customHeight="1" x14ac:dyDescent="0.2">
      <c r="A445" s="38" t="s">
        <v>763</v>
      </c>
      <c r="B445" s="385" t="s">
        <v>764</v>
      </c>
      <c r="C445" s="386"/>
      <c r="D445" s="386"/>
      <c r="E445" s="35">
        <v>-111.7</v>
      </c>
      <c r="F445" s="35">
        <v>0</v>
      </c>
      <c r="H445" s="35">
        <v>0</v>
      </c>
      <c r="J445" s="35">
        <v>-111.7</v>
      </c>
    </row>
    <row r="446" spans="1:10" ht="15.95" hidden="1" customHeight="1" x14ac:dyDescent="0.2">
      <c r="A446" s="38" t="s">
        <v>765</v>
      </c>
      <c r="B446" s="385" t="s">
        <v>766</v>
      </c>
      <c r="C446" s="386"/>
      <c r="D446" s="386"/>
      <c r="E446" s="35">
        <v>-3215.85</v>
      </c>
      <c r="F446" s="35">
        <v>0</v>
      </c>
      <c r="H446" s="35">
        <v>0</v>
      </c>
      <c r="J446" s="35">
        <v>-3215.85</v>
      </c>
    </row>
    <row r="447" spans="1:10" ht="15.95" hidden="1" customHeight="1" x14ac:dyDescent="0.2">
      <c r="A447" s="38" t="s">
        <v>767</v>
      </c>
      <c r="B447" s="385" t="s">
        <v>768</v>
      </c>
      <c r="C447" s="386"/>
      <c r="D447" s="386"/>
      <c r="E447" s="35">
        <v>-861.9</v>
      </c>
      <c r="F447" s="35">
        <v>0</v>
      </c>
      <c r="H447" s="35">
        <v>0</v>
      </c>
      <c r="J447" s="35">
        <v>-861.9</v>
      </c>
    </row>
    <row r="448" spans="1:10" ht="15.95" hidden="1" customHeight="1" x14ac:dyDescent="0.2">
      <c r="A448" s="38" t="s">
        <v>769</v>
      </c>
      <c r="B448" s="385" t="s">
        <v>770</v>
      </c>
      <c r="C448" s="386"/>
      <c r="D448" s="386"/>
      <c r="E448" s="35">
        <v>-2028.49</v>
      </c>
      <c r="F448" s="35">
        <v>0</v>
      </c>
      <c r="H448" s="35">
        <v>0</v>
      </c>
      <c r="J448" s="35">
        <v>-2028.49</v>
      </c>
    </row>
    <row r="449" spans="1:10" ht="15.95" hidden="1" customHeight="1" x14ac:dyDescent="0.2">
      <c r="A449" s="38" t="s">
        <v>771</v>
      </c>
      <c r="B449" s="385" t="s">
        <v>772</v>
      </c>
      <c r="C449" s="386"/>
      <c r="D449" s="386"/>
      <c r="E449" s="35">
        <v>-1261.4000000000001</v>
      </c>
      <c r="F449" s="35">
        <v>0</v>
      </c>
      <c r="H449" s="35">
        <v>0</v>
      </c>
      <c r="J449" s="35">
        <v>-1261.4000000000001</v>
      </c>
    </row>
    <row r="450" spans="1:10" ht="15.95" hidden="1" customHeight="1" x14ac:dyDescent="0.2">
      <c r="A450" s="38" t="s">
        <v>773</v>
      </c>
      <c r="B450" s="385" t="s">
        <v>774</v>
      </c>
      <c r="C450" s="386"/>
      <c r="D450" s="386"/>
      <c r="E450" s="35">
        <v>-5180.93</v>
      </c>
      <c r="F450" s="35">
        <v>0</v>
      </c>
      <c r="H450" s="35">
        <v>0</v>
      </c>
      <c r="J450" s="35">
        <v>-5180.93</v>
      </c>
    </row>
    <row r="451" spans="1:10" ht="15.95" hidden="1" customHeight="1" x14ac:dyDescent="0.2">
      <c r="A451" s="38" t="s">
        <v>775</v>
      </c>
      <c r="B451" s="385" t="s">
        <v>776</v>
      </c>
      <c r="C451" s="386"/>
      <c r="D451" s="386"/>
      <c r="E451" s="35">
        <v>-206.2</v>
      </c>
      <c r="F451" s="35">
        <v>0</v>
      </c>
      <c r="H451" s="35">
        <v>0</v>
      </c>
      <c r="J451" s="35">
        <v>-206.2</v>
      </c>
    </row>
    <row r="452" spans="1:10" ht="15.95" hidden="1" customHeight="1" x14ac:dyDescent="0.2">
      <c r="A452" s="38" t="s">
        <v>777</v>
      </c>
      <c r="B452" s="385" t="s">
        <v>778</v>
      </c>
      <c r="C452" s="386"/>
      <c r="D452" s="386"/>
      <c r="E452" s="35">
        <v>-608.96</v>
      </c>
      <c r="F452" s="35">
        <v>0</v>
      </c>
      <c r="H452" s="35">
        <v>0</v>
      </c>
      <c r="J452" s="35">
        <v>-608.96</v>
      </c>
    </row>
    <row r="453" spans="1:10" ht="15.95" hidden="1" customHeight="1" x14ac:dyDescent="0.2">
      <c r="A453" s="38" t="s">
        <v>779</v>
      </c>
      <c r="B453" s="385" t="s">
        <v>780</v>
      </c>
      <c r="C453" s="386"/>
      <c r="D453" s="386"/>
      <c r="E453" s="35">
        <v>-156.04</v>
      </c>
      <c r="F453" s="35">
        <v>0</v>
      </c>
      <c r="H453" s="35">
        <v>0</v>
      </c>
      <c r="J453" s="35">
        <v>-156.04</v>
      </c>
    </row>
    <row r="454" spans="1:10" ht="15.95" hidden="1" customHeight="1" x14ac:dyDescent="0.2">
      <c r="A454" s="38" t="s">
        <v>781</v>
      </c>
      <c r="B454" s="385" t="s">
        <v>782</v>
      </c>
      <c r="C454" s="386"/>
      <c r="D454" s="386"/>
      <c r="E454" s="35">
        <v>-109.84</v>
      </c>
      <c r="F454" s="35">
        <v>0</v>
      </c>
      <c r="H454" s="35">
        <v>0</v>
      </c>
      <c r="J454" s="35">
        <v>-109.84</v>
      </c>
    </row>
    <row r="455" spans="1:10" ht="15.95" hidden="1" customHeight="1" x14ac:dyDescent="0.2">
      <c r="A455" s="38" t="s">
        <v>783</v>
      </c>
      <c r="B455" s="385" t="s">
        <v>784</v>
      </c>
      <c r="C455" s="386"/>
      <c r="D455" s="386"/>
      <c r="E455" s="35">
        <v>-683.35</v>
      </c>
      <c r="F455" s="35">
        <v>0</v>
      </c>
      <c r="H455" s="35">
        <v>0</v>
      </c>
      <c r="J455" s="35">
        <v>-683.35</v>
      </c>
    </row>
    <row r="456" spans="1:10" ht="15.95" hidden="1" customHeight="1" x14ac:dyDescent="0.2">
      <c r="A456" s="38" t="s">
        <v>785</v>
      </c>
      <c r="B456" s="385" t="s">
        <v>786</v>
      </c>
      <c r="C456" s="386"/>
      <c r="D456" s="386"/>
      <c r="E456" s="35">
        <v>-27</v>
      </c>
      <c r="F456" s="35">
        <v>5954.3</v>
      </c>
      <c r="H456" s="35">
        <v>5954.3</v>
      </c>
      <c r="J456" s="35">
        <v>-27</v>
      </c>
    </row>
    <row r="457" spans="1:10" ht="15.95" hidden="1" customHeight="1" x14ac:dyDescent="0.2">
      <c r="A457" s="38" t="s">
        <v>787</v>
      </c>
      <c r="B457" s="385" t="s">
        <v>788</v>
      </c>
      <c r="C457" s="386"/>
      <c r="D457" s="386"/>
      <c r="E457" s="35">
        <v>-45.32</v>
      </c>
      <c r="F457" s="35">
        <v>0</v>
      </c>
      <c r="H457" s="35">
        <v>0</v>
      </c>
      <c r="J457" s="35">
        <v>-45.32</v>
      </c>
    </row>
    <row r="458" spans="1:10" ht="15.95" hidden="1" customHeight="1" x14ac:dyDescent="0.2">
      <c r="A458" s="38" t="s">
        <v>789</v>
      </c>
      <c r="B458" s="385" t="s">
        <v>790</v>
      </c>
      <c r="C458" s="386"/>
      <c r="D458" s="386"/>
      <c r="E458" s="35">
        <v>-120.7</v>
      </c>
      <c r="F458" s="35">
        <v>0</v>
      </c>
      <c r="H458" s="35">
        <v>0</v>
      </c>
      <c r="J458" s="35">
        <v>-120.7</v>
      </c>
    </row>
    <row r="459" spans="1:10" ht="15.95" hidden="1" customHeight="1" x14ac:dyDescent="0.2">
      <c r="A459" s="38" t="s">
        <v>791</v>
      </c>
      <c r="B459" s="385" t="s">
        <v>792</v>
      </c>
      <c r="C459" s="386"/>
      <c r="D459" s="386"/>
      <c r="E459" s="35">
        <v>-674.65</v>
      </c>
      <c r="F459" s="35">
        <v>0</v>
      </c>
      <c r="H459" s="35">
        <v>0</v>
      </c>
      <c r="J459" s="35">
        <v>-674.65</v>
      </c>
    </row>
    <row r="460" spans="1:10" ht="15.95" hidden="1" customHeight="1" x14ac:dyDescent="0.2">
      <c r="A460" s="38" t="s">
        <v>793</v>
      </c>
      <c r="B460" s="385" t="s">
        <v>794</v>
      </c>
      <c r="C460" s="386"/>
      <c r="D460" s="386"/>
      <c r="E460" s="35">
        <v>-761.21</v>
      </c>
      <c r="F460" s="35">
        <v>0</v>
      </c>
      <c r="H460" s="35">
        <v>0</v>
      </c>
      <c r="J460" s="35">
        <v>-761.21</v>
      </c>
    </row>
    <row r="461" spans="1:10" ht="15.95" hidden="1" customHeight="1" x14ac:dyDescent="0.2">
      <c r="A461" s="38" t="s">
        <v>795</v>
      </c>
      <c r="B461" s="385" t="s">
        <v>796</v>
      </c>
      <c r="C461" s="386"/>
      <c r="D461" s="386"/>
      <c r="E461" s="35">
        <v>-44.62</v>
      </c>
      <c r="F461" s="35">
        <v>0</v>
      </c>
      <c r="H461" s="35">
        <v>0</v>
      </c>
      <c r="J461" s="35">
        <v>-44.62</v>
      </c>
    </row>
    <row r="462" spans="1:10" ht="15.95" hidden="1" customHeight="1" x14ac:dyDescent="0.2">
      <c r="A462" s="38" t="s">
        <v>797</v>
      </c>
      <c r="B462" s="385" t="s">
        <v>798</v>
      </c>
      <c r="C462" s="386"/>
      <c r="D462" s="386"/>
      <c r="E462" s="35">
        <v>-210.27</v>
      </c>
      <c r="F462" s="35">
        <v>0</v>
      </c>
      <c r="H462" s="35">
        <v>0</v>
      </c>
      <c r="J462" s="35">
        <v>-210.27</v>
      </c>
    </row>
    <row r="463" spans="1:10" ht="15.95" hidden="1" customHeight="1" x14ac:dyDescent="0.2">
      <c r="A463" s="38" t="s">
        <v>799</v>
      </c>
      <c r="B463" s="385" t="s">
        <v>800</v>
      </c>
      <c r="C463" s="386"/>
      <c r="D463" s="386"/>
      <c r="E463" s="35">
        <v>-2590.5</v>
      </c>
      <c r="F463" s="35">
        <v>0</v>
      </c>
      <c r="H463" s="35">
        <v>0</v>
      </c>
      <c r="J463" s="35">
        <v>-2590.5</v>
      </c>
    </row>
    <row r="464" spans="1:10" ht="15.95" hidden="1" customHeight="1" x14ac:dyDescent="0.2">
      <c r="A464" s="38" t="s">
        <v>801</v>
      </c>
      <c r="B464" s="385" t="s">
        <v>802</v>
      </c>
      <c r="C464" s="386"/>
      <c r="D464" s="386"/>
      <c r="E464" s="35">
        <v>-57.77</v>
      </c>
      <c r="F464" s="35">
        <v>0</v>
      </c>
      <c r="H464" s="35">
        <v>0</v>
      </c>
      <c r="J464" s="35">
        <v>-57.77</v>
      </c>
    </row>
    <row r="465" spans="1:10" ht="15.95" hidden="1" customHeight="1" x14ac:dyDescent="0.2">
      <c r="A465" s="38" t="s">
        <v>803</v>
      </c>
      <c r="B465" s="385" t="s">
        <v>804</v>
      </c>
      <c r="C465" s="386"/>
      <c r="D465" s="386"/>
      <c r="E465" s="35">
        <v>-384.27</v>
      </c>
      <c r="F465" s="35">
        <v>0</v>
      </c>
      <c r="H465" s="35">
        <v>0</v>
      </c>
      <c r="J465" s="35">
        <v>-384.27</v>
      </c>
    </row>
    <row r="466" spans="1:10" ht="15.95" hidden="1" customHeight="1" x14ac:dyDescent="0.2">
      <c r="A466" s="38" t="s">
        <v>805</v>
      </c>
      <c r="B466" s="385" t="s">
        <v>806</v>
      </c>
      <c r="C466" s="386"/>
      <c r="D466" s="386"/>
      <c r="E466" s="35">
        <v>-35.020000000000003</v>
      </c>
      <c r="F466" s="35">
        <v>0</v>
      </c>
      <c r="H466" s="35">
        <v>0</v>
      </c>
      <c r="J466" s="35">
        <v>-35.020000000000003</v>
      </c>
    </row>
    <row r="467" spans="1:10" ht="15.95" hidden="1" customHeight="1" x14ac:dyDescent="0.2">
      <c r="A467" s="38" t="s">
        <v>807</v>
      </c>
      <c r="B467" s="385" t="s">
        <v>808</v>
      </c>
      <c r="C467" s="386"/>
      <c r="D467" s="386"/>
      <c r="E467" s="35">
        <v>-2538.48</v>
      </c>
      <c r="F467" s="35">
        <v>0</v>
      </c>
      <c r="H467" s="35">
        <v>0</v>
      </c>
      <c r="J467" s="35">
        <v>-2538.48</v>
      </c>
    </row>
    <row r="468" spans="1:10" ht="15.95" hidden="1" customHeight="1" x14ac:dyDescent="0.2">
      <c r="A468" s="38" t="s">
        <v>809</v>
      </c>
      <c r="B468" s="385" t="s">
        <v>810</v>
      </c>
      <c r="C468" s="386"/>
      <c r="D468" s="386"/>
      <c r="E468" s="35">
        <v>-64.599999999999994</v>
      </c>
      <c r="F468" s="35">
        <v>0</v>
      </c>
      <c r="H468" s="35">
        <v>0</v>
      </c>
      <c r="J468" s="35">
        <v>-64.599999999999994</v>
      </c>
    </row>
    <row r="469" spans="1:10" ht="15.95" hidden="1" customHeight="1" x14ac:dyDescent="0.2">
      <c r="A469" s="38" t="s">
        <v>811</v>
      </c>
      <c r="B469" s="385" t="s">
        <v>812</v>
      </c>
      <c r="C469" s="386"/>
      <c r="D469" s="386"/>
      <c r="E469" s="35">
        <v>-410.25</v>
      </c>
      <c r="F469" s="35">
        <v>0</v>
      </c>
      <c r="H469" s="35">
        <v>0</v>
      </c>
      <c r="J469" s="35">
        <v>-410.25</v>
      </c>
    </row>
    <row r="470" spans="1:10" ht="15.95" hidden="1" customHeight="1" x14ac:dyDescent="0.2">
      <c r="A470" s="38" t="s">
        <v>813</v>
      </c>
      <c r="B470" s="385" t="s">
        <v>814</v>
      </c>
      <c r="C470" s="386"/>
      <c r="D470" s="386"/>
      <c r="E470" s="35">
        <v>-49.5</v>
      </c>
      <c r="F470" s="35">
        <v>0</v>
      </c>
      <c r="H470" s="35">
        <v>0</v>
      </c>
      <c r="J470" s="35">
        <v>-49.5</v>
      </c>
    </row>
    <row r="471" spans="1:10" ht="15.95" hidden="1" customHeight="1" x14ac:dyDescent="0.2">
      <c r="A471" s="38" t="s">
        <v>815</v>
      </c>
      <c r="B471" s="385" t="s">
        <v>816</v>
      </c>
      <c r="C471" s="386"/>
      <c r="D471" s="386"/>
      <c r="E471" s="35">
        <v>-228.66</v>
      </c>
      <c r="F471" s="35">
        <v>0</v>
      </c>
      <c r="H471" s="35">
        <v>0</v>
      </c>
      <c r="J471" s="35">
        <v>-228.66</v>
      </c>
    </row>
    <row r="472" spans="1:10" ht="15.95" hidden="1" customHeight="1" x14ac:dyDescent="0.2">
      <c r="A472" s="38" t="s">
        <v>817</v>
      </c>
      <c r="B472" s="385" t="s">
        <v>818</v>
      </c>
      <c r="C472" s="386"/>
      <c r="D472" s="386"/>
      <c r="E472" s="35">
        <v>-145.24</v>
      </c>
      <c r="F472" s="35">
        <v>0</v>
      </c>
      <c r="H472" s="35">
        <v>0</v>
      </c>
      <c r="J472" s="35">
        <v>-145.24</v>
      </c>
    </row>
    <row r="473" spans="1:10" ht="15.95" hidden="1" customHeight="1" x14ac:dyDescent="0.2">
      <c r="A473" s="38" t="s">
        <v>819</v>
      </c>
      <c r="B473" s="385" t="s">
        <v>820</v>
      </c>
      <c r="C473" s="386"/>
      <c r="D473" s="386"/>
      <c r="E473" s="35">
        <v>-515.5</v>
      </c>
      <c r="F473" s="35">
        <v>0</v>
      </c>
      <c r="H473" s="35">
        <v>0</v>
      </c>
      <c r="J473" s="35">
        <v>-515.5</v>
      </c>
    </row>
    <row r="474" spans="1:10" ht="15.95" hidden="1" customHeight="1" x14ac:dyDescent="0.2">
      <c r="A474" s="38" t="s">
        <v>821</v>
      </c>
      <c r="B474" s="385" t="s">
        <v>822</v>
      </c>
      <c r="C474" s="386"/>
      <c r="D474" s="386"/>
      <c r="E474" s="35">
        <v>-22.51</v>
      </c>
      <c r="F474" s="35">
        <v>0</v>
      </c>
      <c r="H474" s="35">
        <v>0</v>
      </c>
      <c r="J474" s="35">
        <v>-22.51</v>
      </c>
    </row>
    <row r="475" spans="1:10" ht="15.95" hidden="1" customHeight="1" x14ac:dyDescent="0.2">
      <c r="A475" s="38" t="s">
        <v>823</v>
      </c>
      <c r="B475" s="385" t="s">
        <v>824</v>
      </c>
      <c r="C475" s="386"/>
      <c r="D475" s="386"/>
      <c r="E475" s="35">
        <v>-10</v>
      </c>
      <c r="F475" s="35">
        <v>0</v>
      </c>
      <c r="H475" s="35">
        <v>0</v>
      </c>
      <c r="J475" s="35">
        <v>-10</v>
      </c>
    </row>
    <row r="476" spans="1:10" ht="15.95" hidden="1" customHeight="1" x14ac:dyDescent="0.2">
      <c r="A476" s="38" t="s">
        <v>825</v>
      </c>
      <c r="B476" s="385" t="s">
        <v>826</v>
      </c>
      <c r="C476" s="386"/>
      <c r="D476" s="386"/>
      <c r="E476" s="35">
        <v>-98.32</v>
      </c>
      <c r="F476" s="35">
        <v>0</v>
      </c>
      <c r="H476" s="35">
        <v>0</v>
      </c>
      <c r="J476" s="35">
        <v>-98.32</v>
      </c>
    </row>
    <row r="477" spans="1:10" ht="15.95" hidden="1" customHeight="1" x14ac:dyDescent="0.2">
      <c r="A477" s="38" t="s">
        <v>827</v>
      </c>
      <c r="B477" s="385" t="s">
        <v>828</v>
      </c>
      <c r="C477" s="386"/>
      <c r="D477" s="386"/>
      <c r="E477" s="35">
        <v>-21.62</v>
      </c>
      <c r="F477" s="35">
        <v>0</v>
      </c>
      <c r="H477" s="35">
        <v>0</v>
      </c>
      <c r="J477" s="35">
        <v>-21.62</v>
      </c>
    </row>
    <row r="478" spans="1:10" ht="15.95" hidden="1" customHeight="1" x14ac:dyDescent="0.2">
      <c r="A478" s="38" t="s">
        <v>829</v>
      </c>
      <c r="B478" s="385" t="s">
        <v>830</v>
      </c>
      <c r="C478" s="386"/>
      <c r="D478" s="386"/>
      <c r="E478" s="35">
        <v>-1274.77</v>
      </c>
      <c r="F478" s="35">
        <v>0</v>
      </c>
      <c r="H478" s="35">
        <v>0</v>
      </c>
      <c r="J478" s="35">
        <v>-1274.77</v>
      </c>
    </row>
    <row r="479" spans="1:10" ht="15.95" hidden="1" customHeight="1" x14ac:dyDescent="0.2">
      <c r="A479" s="38" t="s">
        <v>831</v>
      </c>
      <c r="B479" s="385" t="s">
        <v>832</v>
      </c>
      <c r="C479" s="386"/>
      <c r="D479" s="386"/>
      <c r="E479" s="35">
        <v>-170009.81</v>
      </c>
      <c r="F479" s="35">
        <v>0</v>
      </c>
      <c r="H479" s="35">
        <v>0</v>
      </c>
      <c r="J479" s="35">
        <v>-170009.81</v>
      </c>
    </row>
    <row r="480" spans="1:10" ht="15.95" hidden="1" customHeight="1" x14ac:dyDescent="0.2">
      <c r="A480" s="38" t="s">
        <v>833</v>
      </c>
      <c r="B480" s="385" t="s">
        <v>834</v>
      </c>
      <c r="C480" s="386"/>
      <c r="D480" s="386"/>
      <c r="E480" s="35">
        <v>-268.06</v>
      </c>
      <c r="F480" s="35">
        <v>0</v>
      </c>
      <c r="H480" s="35">
        <v>0</v>
      </c>
      <c r="J480" s="35">
        <v>-268.06</v>
      </c>
    </row>
    <row r="481" spans="1:10" ht="15.95" hidden="1" customHeight="1" x14ac:dyDescent="0.2">
      <c r="A481" s="38" t="s">
        <v>835</v>
      </c>
      <c r="B481" s="385" t="s">
        <v>836</v>
      </c>
      <c r="C481" s="386"/>
      <c r="D481" s="386"/>
      <c r="E481" s="35">
        <v>-394.41</v>
      </c>
      <c r="F481" s="35">
        <v>0</v>
      </c>
      <c r="H481" s="35">
        <v>0</v>
      </c>
      <c r="J481" s="35">
        <v>-394.41</v>
      </c>
    </row>
    <row r="482" spans="1:10" ht="15.95" hidden="1" customHeight="1" x14ac:dyDescent="0.2">
      <c r="A482" s="38" t="s">
        <v>837</v>
      </c>
      <c r="B482" s="385" t="s">
        <v>838</v>
      </c>
      <c r="C482" s="386"/>
      <c r="D482" s="386"/>
      <c r="E482" s="35">
        <v>-140.36000000000001</v>
      </c>
      <c r="F482" s="35">
        <v>0</v>
      </c>
      <c r="H482" s="35">
        <v>0</v>
      </c>
      <c r="J482" s="35">
        <v>-140.36000000000001</v>
      </c>
    </row>
    <row r="483" spans="1:10" ht="15.95" hidden="1" customHeight="1" x14ac:dyDescent="0.2">
      <c r="A483" s="38" t="s">
        <v>839</v>
      </c>
      <c r="B483" s="385" t="s">
        <v>840</v>
      </c>
      <c r="C483" s="386"/>
      <c r="D483" s="386"/>
      <c r="E483" s="35">
        <v>-29.76</v>
      </c>
      <c r="F483" s="35">
        <v>0</v>
      </c>
      <c r="H483" s="35">
        <v>0</v>
      </c>
      <c r="J483" s="35">
        <v>-29.76</v>
      </c>
    </row>
    <row r="484" spans="1:10" ht="15.95" hidden="1" customHeight="1" x14ac:dyDescent="0.2">
      <c r="A484" s="38" t="s">
        <v>841</v>
      </c>
      <c r="B484" s="385" t="s">
        <v>842</v>
      </c>
      <c r="C484" s="386"/>
      <c r="D484" s="386"/>
      <c r="E484" s="35">
        <v>-151.47999999999999</v>
      </c>
      <c r="F484" s="35">
        <v>0</v>
      </c>
      <c r="H484" s="35">
        <v>0</v>
      </c>
      <c r="J484" s="35">
        <v>-151.47999999999999</v>
      </c>
    </row>
    <row r="485" spans="1:10" ht="15.95" hidden="1" customHeight="1" x14ac:dyDescent="0.2">
      <c r="A485" s="38" t="s">
        <v>843</v>
      </c>
      <c r="B485" s="385" t="s">
        <v>844</v>
      </c>
      <c r="C485" s="386"/>
      <c r="D485" s="386"/>
      <c r="E485" s="35">
        <v>-11402.28</v>
      </c>
      <c r="F485" s="35">
        <v>0</v>
      </c>
      <c r="H485" s="35">
        <v>0</v>
      </c>
      <c r="J485" s="35">
        <v>-11402.28</v>
      </c>
    </row>
    <row r="486" spans="1:10" ht="15.95" hidden="1" customHeight="1" x14ac:dyDescent="0.2">
      <c r="A486" s="38" t="s">
        <v>847</v>
      </c>
      <c r="B486" s="385" t="s">
        <v>848</v>
      </c>
      <c r="C486" s="386"/>
      <c r="D486" s="386"/>
      <c r="E486" s="35">
        <v>-260.05</v>
      </c>
      <c r="F486" s="35">
        <v>0</v>
      </c>
      <c r="H486" s="35">
        <v>0</v>
      </c>
      <c r="J486" s="35">
        <v>-260.05</v>
      </c>
    </row>
    <row r="487" spans="1:10" ht="15.95" hidden="1" customHeight="1" x14ac:dyDescent="0.2">
      <c r="A487" s="38" t="s">
        <v>849</v>
      </c>
      <c r="B487" s="385" t="s">
        <v>850</v>
      </c>
      <c r="C487" s="386"/>
      <c r="D487" s="386"/>
      <c r="E487" s="35">
        <v>-20.38</v>
      </c>
      <c r="F487" s="35">
        <v>0</v>
      </c>
      <c r="H487" s="35">
        <v>0</v>
      </c>
      <c r="J487" s="35">
        <v>-20.38</v>
      </c>
    </row>
    <row r="488" spans="1:10" ht="27.95" hidden="1" customHeight="1" x14ac:dyDescent="0.2">
      <c r="A488" s="38" t="s">
        <v>851</v>
      </c>
      <c r="B488" s="385" t="s">
        <v>852</v>
      </c>
      <c r="C488" s="386"/>
      <c r="D488" s="386"/>
      <c r="E488" s="35">
        <v>-286.95999999999998</v>
      </c>
      <c r="F488" s="35">
        <v>0</v>
      </c>
      <c r="H488" s="35">
        <v>0</v>
      </c>
      <c r="J488" s="35">
        <v>-286.95999999999998</v>
      </c>
    </row>
    <row r="489" spans="1:10" ht="15.95" hidden="1" customHeight="1" x14ac:dyDescent="0.2">
      <c r="A489" s="38" t="s">
        <v>853</v>
      </c>
      <c r="B489" s="385" t="s">
        <v>854</v>
      </c>
      <c r="C489" s="386"/>
      <c r="D489" s="386"/>
      <c r="E489" s="35">
        <v>-633.79999999999995</v>
      </c>
      <c r="F489" s="35">
        <v>0</v>
      </c>
      <c r="H489" s="35">
        <v>0</v>
      </c>
      <c r="J489" s="35">
        <v>-633.79999999999995</v>
      </c>
    </row>
    <row r="490" spans="1:10" ht="15.95" hidden="1" customHeight="1" x14ac:dyDescent="0.2">
      <c r="A490" s="38" t="s">
        <v>855</v>
      </c>
      <c r="B490" s="385" t="s">
        <v>856</v>
      </c>
      <c r="C490" s="386"/>
      <c r="D490" s="386"/>
      <c r="E490" s="35">
        <v>-260.16000000000003</v>
      </c>
      <c r="F490" s="35">
        <v>0</v>
      </c>
      <c r="H490" s="35">
        <v>0</v>
      </c>
      <c r="J490" s="35">
        <v>-260.16000000000003</v>
      </c>
    </row>
    <row r="491" spans="1:10" ht="15.95" hidden="1" customHeight="1" x14ac:dyDescent="0.2">
      <c r="A491" s="38" t="s">
        <v>857</v>
      </c>
      <c r="B491" s="385" t="s">
        <v>858</v>
      </c>
      <c r="C491" s="386"/>
      <c r="D491" s="386"/>
      <c r="E491" s="35">
        <v>-2953.97</v>
      </c>
      <c r="F491" s="35">
        <v>0</v>
      </c>
      <c r="H491" s="35">
        <v>0</v>
      </c>
      <c r="J491" s="35">
        <v>-2953.97</v>
      </c>
    </row>
    <row r="492" spans="1:10" ht="15.95" hidden="1" customHeight="1" x14ac:dyDescent="0.2">
      <c r="A492" s="38" t="s">
        <v>859</v>
      </c>
      <c r="B492" s="385" t="s">
        <v>860</v>
      </c>
      <c r="C492" s="386"/>
      <c r="D492" s="386"/>
      <c r="E492" s="35">
        <v>-2514.64</v>
      </c>
      <c r="F492" s="35">
        <v>0</v>
      </c>
      <c r="H492" s="35">
        <v>0</v>
      </c>
      <c r="J492" s="35">
        <v>-2514.64</v>
      </c>
    </row>
    <row r="493" spans="1:10" ht="15.95" hidden="1" customHeight="1" x14ac:dyDescent="0.2">
      <c r="A493" s="38" t="s">
        <v>861</v>
      </c>
      <c r="B493" s="385" t="s">
        <v>862</v>
      </c>
      <c r="C493" s="386"/>
      <c r="D493" s="386"/>
      <c r="E493" s="35">
        <v>-29.84</v>
      </c>
      <c r="F493" s="35">
        <v>0</v>
      </c>
      <c r="H493" s="35">
        <v>0</v>
      </c>
      <c r="J493" s="35">
        <v>-29.84</v>
      </c>
    </row>
    <row r="494" spans="1:10" ht="15.95" hidden="1" customHeight="1" x14ac:dyDescent="0.2">
      <c r="A494" s="38" t="s">
        <v>863</v>
      </c>
      <c r="B494" s="385" t="s">
        <v>864</v>
      </c>
      <c r="C494" s="386"/>
      <c r="D494" s="386"/>
      <c r="E494" s="35">
        <v>-866.83</v>
      </c>
      <c r="F494" s="35">
        <v>0</v>
      </c>
      <c r="H494" s="35">
        <v>0</v>
      </c>
      <c r="J494" s="35">
        <v>-866.83</v>
      </c>
    </row>
    <row r="495" spans="1:10" ht="15.95" hidden="1" customHeight="1" x14ac:dyDescent="0.2">
      <c r="A495" s="38" t="s">
        <v>865</v>
      </c>
      <c r="B495" s="385" t="s">
        <v>866</v>
      </c>
      <c r="C495" s="386"/>
      <c r="D495" s="386"/>
      <c r="E495" s="35">
        <v>-236.03</v>
      </c>
      <c r="F495" s="35">
        <v>0</v>
      </c>
      <c r="H495" s="35">
        <v>0</v>
      </c>
      <c r="J495" s="35">
        <v>-236.03</v>
      </c>
    </row>
    <row r="496" spans="1:10" ht="15.95" hidden="1" customHeight="1" x14ac:dyDescent="0.2">
      <c r="A496" s="38" t="s">
        <v>867</v>
      </c>
      <c r="B496" s="385" t="s">
        <v>868</v>
      </c>
      <c r="C496" s="386"/>
      <c r="D496" s="386"/>
      <c r="E496" s="35">
        <v>-148.35</v>
      </c>
      <c r="F496" s="35">
        <v>0</v>
      </c>
      <c r="H496" s="35">
        <v>0</v>
      </c>
      <c r="J496" s="35">
        <v>-148.35</v>
      </c>
    </row>
    <row r="497" spans="1:10" ht="15.95" hidden="1" customHeight="1" x14ac:dyDescent="0.2">
      <c r="A497" s="38" t="s">
        <v>871</v>
      </c>
      <c r="B497" s="385" t="s">
        <v>872</v>
      </c>
      <c r="C497" s="386"/>
      <c r="D497" s="386"/>
      <c r="E497" s="35">
        <v>-70.819999999999993</v>
      </c>
      <c r="F497" s="35">
        <v>0</v>
      </c>
      <c r="H497" s="35">
        <v>0</v>
      </c>
      <c r="J497" s="35">
        <v>-70.819999999999993</v>
      </c>
    </row>
    <row r="498" spans="1:10" ht="15.95" hidden="1" customHeight="1" x14ac:dyDescent="0.2">
      <c r="A498" s="38" t="s">
        <v>873</v>
      </c>
      <c r="B498" s="385" t="s">
        <v>874</v>
      </c>
      <c r="C498" s="386"/>
      <c r="D498" s="386"/>
      <c r="E498" s="35">
        <v>-396.38</v>
      </c>
      <c r="F498" s="35">
        <v>0</v>
      </c>
      <c r="H498" s="35">
        <v>0</v>
      </c>
      <c r="J498" s="35">
        <v>-396.38</v>
      </c>
    </row>
    <row r="499" spans="1:10" ht="15.95" hidden="1" customHeight="1" x14ac:dyDescent="0.2">
      <c r="A499" s="38" t="s">
        <v>875</v>
      </c>
      <c r="B499" s="385" t="s">
        <v>876</v>
      </c>
      <c r="C499" s="386"/>
      <c r="D499" s="386"/>
      <c r="E499" s="35">
        <v>-117.09</v>
      </c>
      <c r="F499" s="35">
        <v>0</v>
      </c>
      <c r="H499" s="35">
        <v>0</v>
      </c>
      <c r="J499" s="35">
        <v>-117.09</v>
      </c>
    </row>
    <row r="500" spans="1:10" ht="15.95" hidden="1" customHeight="1" x14ac:dyDescent="0.2">
      <c r="A500" s="38" t="s">
        <v>877</v>
      </c>
      <c r="B500" s="385" t="s">
        <v>878</v>
      </c>
      <c r="C500" s="386"/>
      <c r="D500" s="386"/>
      <c r="E500" s="35">
        <v>-1638.3</v>
      </c>
      <c r="F500" s="35">
        <v>0</v>
      </c>
      <c r="H500" s="35">
        <v>0</v>
      </c>
      <c r="J500" s="35">
        <v>-1638.3</v>
      </c>
    </row>
    <row r="501" spans="1:10" ht="15.95" hidden="1" customHeight="1" x14ac:dyDescent="0.2">
      <c r="A501" s="38" t="s">
        <v>879</v>
      </c>
      <c r="B501" s="385" t="s">
        <v>880</v>
      </c>
      <c r="C501" s="386"/>
      <c r="D501" s="386"/>
      <c r="E501" s="35">
        <v>-13.09</v>
      </c>
      <c r="F501" s="35">
        <v>0</v>
      </c>
      <c r="H501" s="35">
        <v>0</v>
      </c>
      <c r="J501" s="35">
        <v>-13.09</v>
      </c>
    </row>
    <row r="502" spans="1:10" ht="15.95" hidden="1" customHeight="1" x14ac:dyDescent="0.2">
      <c r="A502" s="38" t="s">
        <v>881</v>
      </c>
      <c r="B502" s="385" t="s">
        <v>882</v>
      </c>
      <c r="C502" s="386"/>
      <c r="D502" s="386"/>
      <c r="E502" s="35">
        <v>-164.32</v>
      </c>
      <c r="F502" s="35">
        <v>0</v>
      </c>
      <c r="H502" s="35">
        <v>0</v>
      </c>
      <c r="J502" s="35">
        <v>-164.32</v>
      </c>
    </row>
    <row r="503" spans="1:10" ht="15.95" hidden="1" customHeight="1" x14ac:dyDescent="0.2">
      <c r="A503" s="38" t="s">
        <v>883</v>
      </c>
      <c r="B503" s="385" t="s">
        <v>884</v>
      </c>
      <c r="C503" s="386"/>
      <c r="D503" s="386"/>
      <c r="E503" s="35">
        <v>-1094.4100000000001</v>
      </c>
      <c r="F503" s="35">
        <v>0</v>
      </c>
      <c r="H503" s="35">
        <v>0</v>
      </c>
      <c r="J503" s="35">
        <v>-1094.4100000000001</v>
      </c>
    </row>
    <row r="504" spans="1:10" ht="15.95" hidden="1" customHeight="1" x14ac:dyDescent="0.2">
      <c r="A504" s="38" t="s">
        <v>885</v>
      </c>
      <c r="B504" s="385" t="s">
        <v>886</v>
      </c>
      <c r="C504" s="386"/>
      <c r="D504" s="386"/>
      <c r="E504" s="35">
        <v>-136.56</v>
      </c>
      <c r="F504" s="35">
        <v>0</v>
      </c>
      <c r="H504" s="35">
        <v>0</v>
      </c>
      <c r="J504" s="35">
        <v>-136.56</v>
      </c>
    </row>
    <row r="505" spans="1:10" ht="15.95" hidden="1" customHeight="1" x14ac:dyDescent="0.2">
      <c r="A505" s="38" t="s">
        <v>887</v>
      </c>
      <c r="B505" s="385" t="s">
        <v>888</v>
      </c>
      <c r="C505" s="386"/>
      <c r="D505" s="386"/>
      <c r="E505" s="35">
        <v>-2046.48</v>
      </c>
      <c r="F505" s="35">
        <v>0</v>
      </c>
      <c r="H505" s="35">
        <v>0</v>
      </c>
      <c r="J505" s="35">
        <v>-2046.48</v>
      </c>
    </row>
    <row r="506" spans="1:10" ht="15.95" hidden="1" customHeight="1" x14ac:dyDescent="0.2">
      <c r="A506" s="38" t="s">
        <v>889</v>
      </c>
      <c r="B506" s="385" t="s">
        <v>890</v>
      </c>
      <c r="C506" s="386"/>
      <c r="D506" s="386"/>
      <c r="E506" s="35">
        <v>-2708.77</v>
      </c>
      <c r="F506" s="35">
        <v>0</v>
      </c>
      <c r="H506" s="35">
        <v>0</v>
      </c>
      <c r="J506" s="35">
        <v>-2708.77</v>
      </c>
    </row>
    <row r="507" spans="1:10" ht="15.95" hidden="1" customHeight="1" x14ac:dyDescent="0.2">
      <c r="A507" s="38" t="s">
        <v>891</v>
      </c>
      <c r="B507" s="385" t="s">
        <v>892</v>
      </c>
      <c r="C507" s="386"/>
      <c r="D507" s="386"/>
      <c r="E507" s="35">
        <v>-1092.42</v>
      </c>
      <c r="F507" s="35">
        <v>0</v>
      </c>
      <c r="H507" s="35">
        <v>0</v>
      </c>
      <c r="J507" s="35">
        <v>-1092.42</v>
      </c>
    </row>
    <row r="508" spans="1:10" ht="15.95" hidden="1" customHeight="1" x14ac:dyDescent="0.2">
      <c r="A508" s="38" t="s">
        <v>893</v>
      </c>
      <c r="B508" s="385" t="s">
        <v>894</v>
      </c>
      <c r="C508" s="386"/>
      <c r="D508" s="386"/>
      <c r="E508" s="35">
        <v>-52.6</v>
      </c>
      <c r="F508" s="35">
        <v>0</v>
      </c>
      <c r="H508" s="35">
        <v>0</v>
      </c>
      <c r="J508" s="35">
        <v>-52.6</v>
      </c>
    </row>
    <row r="509" spans="1:10" ht="15.95" hidden="1" customHeight="1" x14ac:dyDescent="0.2">
      <c r="A509" s="38" t="s">
        <v>895</v>
      </c>
      <c r="B509" s="385" t="s">
        <v>896</v>
      </c>
      <c r="C509" s="386"/>
      <c r="D509" s="386"/>
      <c r="E509" s="35">
        <v>-93.68</v>
      </c>
      <c r="F509" s="35">
        <v>0</v>
      </c>
      <c r="H509" s="35">
        <v>0</v>
      </c>
      <c r="J509" s="35">
        <v>-93.68</v>
      </c>
    </row>
    <row r="510" spans="1:10" ht="15.95" hidden="1" customHeight="1" x14ac:dyDescent="0.2">
      <c r="A510" s="38" t="s">
        <v>897</v>
      </c>
      <c r="B510" s="385" t="s">
        <v>898</v>
      </c>
      <c r="C510" s="386"/>
      <c r="D510" s="386"/>
      <c r="E510" s="35">
        <v>-27.05</v>
      </c>
      <c r="F510" s="35">
        <v>0</v>
      </c>
      <c r="H510" s="35">
        <v>0</v>
      </c>
      <c r="J510" s="35">
        <v>-27.05</v>
      </c>
    </row>
    <row r="511" spans="1:10" ht="15.95" hidden="1" customHeight="1" x14ac:dyDescent="0.2">
      <c r="A511" s="38" t="s">
        <v>899</v>
      </c>
      <c r="B511" s="385" t="s">
        <v>900</v>
      </c>
      <c r="C511" s="386"/>
      <c r="D511" s="386"/>
      <c r="E511" s="35">
        <v>-429.13</v>
      </c>
      <c r="F511" s="35">
        <v>0</v>
      </c>
      <c r="H511" s="35">
        <v>0</v>
      </c>
      <c r="J511" s="35">
        <v>-429.13</v>
      </c>
    </row>
    <row r="512" spans="1:10" ht="15.95" hidden="1" customHeight="1" x14ac:dyDescent="0.2">
      <c r="A512" s="38" t="s">
        <v>901</v>
      </c>
      <c r="B512" s="385" t="s">
        <v>902</v>
      </c>
      <c r="C512" s="386"/>
      <c r="D512" s="386"/>
      <c r="E512" s="35">
        <v>-91.74</v>
      </c>
      <c r="F512" s="35">
        <v>0</v>
      </c>
      <c r="H512" s="35">
        <v>0</v>
      </c>
      <c r="J512" s="35">
        <v>-91.74</v>
      </c>
    </row>
    <row r="513" spans="1:10" ht="15.95" hidden="1" customHeight="1" x14ac:dyDescent="0.2">
      <c r="A513" s="38" t="s">
        <v>903</v>
      </c>
      <c r="B513" s="385" t="s">
        <v>904</v>
      </c>
      <c r="C513" s="386"/>
      <c r="D513" s="386"/>
      <c r="E513" s="35">
        <v>-501</v>
      </c>
      <c r="F513" s="35">
        <v>0</v>
      </c>
      <c r="H513" s="35">
        <v>0</v>
      </c>
      <c r="J513" s="35">
        <v>-501</v>
      </c>
    </row>
    <row r="514" spans="1:10" ht="15.95" hidden="1" customHeight="1" x14ac:dyDescent="0.2">
      <c r="A514" s="38" t="s">
        <v>905</v>
      </c>
      <c r="B514" s="385" t="s">
        <v>906</v>
      </c>
      <c r="C514" s="386"/>
      <c r="D514" s="386"/>
      <c r="E514" s="35">
        <v>-4910.01</v>
      </c>
      <c r="F514" s="35">
        <v>0</v>
      </c>
      <c r="H514" s="35">
        <v>0</v>
      </c>
      <c r="J514" s="35">
        <v>-4910.01</v>
      </c>
    </row>
    <row r="515" spans="1:10" ht="15.95" hidden="1" customHeight="1" x14ac:dyDescent="0.2">
      <c r="A515" s="38" t="s">
        <v>907</v>
      </c>
      <c r="B515" s="385" t="s">
        <v>908</v>
      </c>
      <c r="C515" s="386"/>
      <c r="D515" s="386"/>
      <c r="E515" s="35">
        <v>-106</v>
      </c>
      <c r="F515" s="35">
        <v>0</v>
      </c>
      <c r="H515" s="35">
        <v>0</v>
      </c>
      <c r="J515" s="35">
        <v>-106</v>
      </c>
    </row>
    <row r="516" spans="1:10" ht="15.95" hidden="1" customHeight="1" x14ac:dyDescent="0.2">
      <c r="A516" s="38" t="s">
        <v>909</v>
      </c>
      <c r="B516" s="385" t="s">
        <v>910</v>
      </c>
      <c r="C516" s="386"/>
      <c r="D516" s="386"/>
      <c r="E516" s="35">
        <v>-41.75</v>
      </c>
      <c r="F516" s="35">
        <v>0</v>
      </c>
      <c r="H516" s="35">
        <v>0</v>
      </c>
      <c r="J516" s="35">
        <v>-41.75</v>
      </c>
    </row>
    <row r="517" spans="1:10" ht="15.95" hidden="1" customHeight="1" x14ac:dyDescent="0.2">
      <c r="A517" s="38" t="s">
        <v>1613</v>
      </c>
      <c r="B517" s="385" t="s">
        <v>1614</v>
      </c>
      <c r="C517" s="386"/>
      <c r="D517" s="386"/>
      <c r="E517" s="35">
        <v>-13.74</v>
      </c>
      <c r="F517" s="35">
        <v>13.74</v>
      </c>
      <c r="H517" s="35">
        <v>0</v>
      </c>
      <c r="J517" s="35">
        <v>0</v>
      </c>
    </row>
    <row r="518" spans="1:10" ht="15.95" hidden="1" customHeight="1" x14ac:dyDescent="0.2">
      <c r="A518" s="38" t="s">
        <v>911</v>
      </c>
      <c r="B518" s="385" t="s">
        <v>912</v>
      </c>
      <c r="C518" s="386"/>
      <c r="D518" s="386"/>
      <c r="E518" s="35">
        <v>0</v>
      </c>
      <c r="F518" s="35">
        <v>0</v>
      </c>
      <c r="H518" s="35">
        <v>25.84</v>
      </c>
      <c r="J518" s="35">
        <v>-25.84</v>
      </c>
    </row>
    <row r="519" spans="1:10" ht="15.95" hidden="1" customHeight="1" x14ac:dyDescent="0.2">
      <c r="A519" s="38" t="s">
        <v>913</v>
      </c>
      <c r="B519" s="385" t="s">
        <v>914</v>
      </c>
      <c r="C519" s="386"/>
      <c r="D519" s="386"/>
      <c r="E519" s="35">
        <v>0</v>
      </c>
      <c r="F519" s="35">
        <v>0</v>
      </c>
      <c r="H519" s="35">
        <v>24.95</v>
      </c>
      <c r="J519" s="35">
        <v>-24.95</v>
      </c>
    </row>
    <row r="520" spans="1:10" ht="15.95" hidden="1" customHeight="1" x14ac:dyDescent="0.2">
      <c r="A520" s="38" t="s">
        <v>1615</v>
      </c>
      <c r="B520" s="385" t="s">
        <v>1616</v>
      </c>
      <c r="C520" s="386"/>
      <c r="D520" s="386"/>
      <c r="E520" s="35">
        <v>0</v>
      </c>
      <c r="F520" s="35">
        <v>31691</v>
      </c>
      <c r="H520" s="35">
        <v>31691</v>
      </c>
      <c r="J520" s="35">
        <v>0</v>
      </c>
    </row>
    <row r="521" spans="1:10" ht="15.95" hidden="1" customHeight="1" x14ac:dyDescent="0.2">
      <c r="A521" s="38" t="s">
        <v>915</v>
      </c>
      <c r="B521" s="385" t="s">
        <v>916</v>
      </c>
      <c r="C521" s="386"/>
      <c r="D521" s="386"/>
      <c r="E521" s="35">
        <v>0</v>
      </c>
      <c r="F521" s="35">
        <v>0</v>
      </c>
      <c r="H521" s="35">
        <v>2728.5</v>
      </c>
      <c r="J521" s="35">
        <v>-2728.5</v>
      </c>
    </row>
    <row r="522" spans="1:10" ht="15.95" hidden="1" customHeight="1" x14ac:dyDescent="0.2">
      <c r="A522" s="38" t="s">
        <v>917</v>
      </c>
      <c r="B522" s="385" t="s">
        <v>918</v>
      </c>
      <c r="C522" s="386"/>
      <c r="D522" s="386"/>
      <c r="E522" s="35">
        <v>0</v>
      </c>
      <c r="F522" s="35">
        <v>1403.34</v>
      </c>
      <c r="H522" s="35">
        <v>1993.2</v>
      </c>
      <c r="J522" s="35">
        <v>-589.86</v>
      </c>
    </row>
    <row r="523" spans="1:10" ht="15.95" hidden="1" customHeight="1" x14ac:dyDescent="0.2">
      <c r="A523" s="38" t="s">
        <v>1543</v>
      </c>
      <c r="B523" s="385" t="s">
        <v>1544</v>
      </c>
      <c r="C523" s="386"/>
      <c r="D523" s="386"/>
      <c r="E523" s="35">
        <v>0</v>
      </c>
      <c r="F523" s="35">
        <v>192.71</v>
      </c>
      <c r="H523" s="35">
        <v>192.71</v>
      </c>
      <c r="J523" s="35">
        <v>0</v>
      </c>
    </row>
    <row r="524" spans="1:10" ht="15.95" hidden="1" customHeight="1" x14ac:dyDescent="0.2">
      <c r="A524" s="38" t="s">
        <v>924</v>
      </c>
      <c r="B524" s="385" t="s">
        <v>925</v>
      </c>
      <c r="C524" s="386"/>
      <c r="D524" s="386"/>
      <c r="E524" s="35">
        <v>-614118.05000000005</v>
      </c>
      <c r="F524" s="35">
        <v>491940.73</v>
      </c>
      <c r="H524" s="35">
        <v>146672.16</v>
      </c>
      <c r="J524" s="35">
        <v>-268849.48</v>
      </c>
    </row>
    <row r="525" spans="1:10" ht="15.95" hidden="1" customHeight="1" x14ac:dyDescent="0.2">
      <c r="A525" s="38">
        <v>2170103</v>
      </c>
      <c r="B525" s="385" t="s">
        <v>926</v>
      </c>
      <c r="C525" s="386"/>
      <c r="D525" s="386"/>
      <c r="E525" s="35">
        <v>-2074158.23</v>
      </c>
      <c r="F525" s="35">
        <v>0</v>
      </c>
      <c r="H525" s="35">
        <v>0</v>
      </c>
      <c r="J525" s="35">
        <v>-2074158.23</v>
      </c>
    </row>
    <row r="526" spans="1:10" ht="15.95" hidden="1" customHeight="1" x14ac:dyDescent="0.2">
      <c r="A526" s="38" t="s">
        <v>927</v>
      </c>
      <c r="B526" s="385" t="s">
        <v>928</v>
      </c>
      <c r="C526" s="386"/>
      <c r="D526" s="386"/>
      <c r="E526" s="35">
        <v>-130924.65</v>
      </c>
      <c r="F526" s="35">
        <v>0</v>
      </c>
      <c r="H526" s="35">
        <v>0</v>
      </c>
      <c r="J526" s="35">
        <v>-130924.65</v>
      </c>
    </row>
    <row r="527" spans="1:10" ht="15.95" hidden="1" customHeight="1" x14ac:dyDescent="0.2">
      <c r="A527" s="38" t="s">
        <v>929</v>
      </c>
      <c r="B527" s="385" t="s">
        <v>930</v>
      </c>
      <c r="C527" s="386"/>
      <c r="D527" s="386"/>
      <c r="E527" s="35">
        <v>-226.75</v>
      </c>
      <c r="F527" s="35">
        <v>0</v>
      </c>
      <c r="H527" s="35">
        <v>0</v>
      </c>
      <c r="J527" s="35">
        <v>-226.75</v>
      </c>
    </row>
    <row r="528" spans="1:10" ht="15.95" hidden="1" customHeight="1" x14ac:dyDescent="0.2">
      <c r="A528" s="38" t="s">
        <v>931</v>
      </c>
      <c r="B528" s="385" t="s">
        <v>932</v>
      </c>
      <c r="C528" s="386"/>
      <c r="D528" s="386"/>
      <c r="E528" s="35">
        <v>-1794.57</v>
      </c>
      <c r="F528" s="35">
        <v>0</v>
      </c>
      <c r="H528" s="35">
        <v>0</v>
      </c>
      <c r="J528" s="35">
        <v>-1794.57</v>
      </c>
    </row>
    <row r="529" spans="1:10" ht="15.95" hidden="1" customHeight="1" x14ac:dyDescent="0.2">
      <c r="A529" s="38" t="s">
        <v>933</v>
      </c>
      <c r="B529" s="385" t="s">
        <v>934</v>
      </c>
      <c r="C529" s="386"/>
      <c r="D529" s="386"/>
      <c r="E529" s="35">
        <v>-47342.879999999997</v>
      </c>
      <c r="F529" s="35">
        <v>0</v>
      </c>
      <c r="H529" s="35">
        <v>0</v>
      </c>
      <c r="J529" s="35">
        <v>-47342.879999999997</v>
      </c>
    </row>
    <row r="530" spans="1:10" ht="15.95" hidden="1" customHeight="1" x14ac:dyDescent="0.2">
      <c r="A530" s="38" t="s">
        <v>935</v>
      </c>
      <c r="B530" s="385" t="s">
        <v>936</v>
      </c>
      <c r="C530" s="386"/>
      <c r="D530" s="386"/>
      <c r="E530" s="35">
        <v>-2247.4699999999998</v>
      </c>
      <c r="F530" s="35">
        <v>0</v>
      </c>
      <c r="H530" s="35">
        <v>0</v>
      </c>
      <c r="J530" s="35">
        <v>-2247.4699999999998</v>
      </c>
    </row>
    <row r="531" spans="1:10" ht="15.95" hidden="1" customHeight="1" x14ac:dyDescent="0.2">
      <c r="A531" s="38" t="s">
        <v>937</v>
      </c>
      <c r="B531" s="385" t="s">
        <v>938</v>
      </c>
      <c r="C531" s="386"/>
      <c r="D531" s="386"/>
      <c r="E531" s="35">
        <v>-1269.3900000000001</v>
      </c>
      <c r="F531" s="35">
        <v>0</v>
      </c>
      <c r="H531" s="35">
        <v>0</v>
      </c>
      <c r="J531" s="35">
        <v>-1269.3900000000001</v>
      </c>
    </row>
    <row r="532" spans="1:10" ht="15.95" hidden="1" customHeight="1" x14ac:dyDescent="0.2">
      <c r="A532" s="38" t="s">
        <v>939</v>
      </c>
      <c r="B532" s="385" t="s">
        <v>940</v>
      </c>
      <c r="C532" s="386"/>
      <c r="D532" s="386"/>
      <c r="E532" s="35">
        <v>-33360.89</v>
      </c>
      <c r="F532" s="35">
        <v>0</v>
      </c>
      <c r="H532" s="35">
        <v>0</v>
      </c>
      <c r="J532" s="35">
        <v>-33360.89</v>
      </c>
    </row>
    <row r="533" spans="1:10" ht="15.95" hidden="1" customHeight="1" x14ac:dyDescent="0.2">
      <c r="A533" s="38" t="s">
        <v>941</v>
      </c>
      <c r="B533" s="385" t="s">
        <v>942</v>
      </c>
      <c r="C533" s="386"/>
      <c r="D533" s="386"/>
      <c r="E533" s="35">
        <v>-1242633.32</v>
      </c>
      <c r="F533" s="35">
        <v>0</v>
      </c>
      <c r="H533" s="35">
        <v>0</v>
      </c>
      <c r="J533" s="35">
        <v>-1242633.32</v>
      </c>
    </row>
    <row r="534" spans="1:10" ht="15.95" hidden="1" customHeight="1" x14ac:dyDescent="0.2">
      <c r="A534" s="38" t="s">
        <v>943</v>
      </c>
      <c r="B534" s="385" t="s">
        <v>944</v>
      </c>
      <c r="C534" s="386"/>
      <c r="D534" s="386"/>
      <c r="E534" s="35">
        <v>-1390.47</v>
      </c>
      <c r="F534" s="35">
        <v>0</v>
      </c>
      <c r="H534" s="35">
        <v>0</v>
      </c>
      <c r="J534" s="35">
        <v>-1390.47</v>
      </c>
    </row>
    <row r="535" spans="1:10" ht="15.95" hidden="1" customHeight="1" x14ac:dyDescent="0.2">
      <c r="A535" s="38" t="s">
        <v>945</v>
      </c>
      <c r="B535" s="385" t="s">
        <v>946</v>
      </c>
      <c r="C535" s="386"/>
      <c r="D535" s="386"/>
      <c r="E535" s="35">
        <v>-120520.27</v>
      </c>
      <c r="F535" s="35">
        <v>0</v>
      </c>
      <c r="H535" s="35">
        <v>0</v>
      </c>
      <c r="J535" s="35">
        <v>-120520.27</v>
      </c>
    </row>
    <row r="536" spans="1:10" ht="15.95" hidden="1" customHeight="1" x14ac:dyDescent="0.2">
      <c r="A536" s="38" t="s">
        <v>947</v>
      </c>
      <c r="B536" s="385" t="s">
        <v>948</v>
      </c>
      <c r="C536" s="386"/>
      <c r="D536" s="386"/>
      <c r="E536" s="35">
        <v>-328.74</v>
      </c>
      <c r="F536" s="35">
        <v>0</v>
      </c>
      <c r="H536" s="35">
        <v>0</v>
      </c>
      <c r="J536" s="35">
        <v>-328.74</v>
      </c>
    </row>
    <row r="537" spans="1:10" ht="15.95" hidden="1" customHeight="1" x14ac:dyDescent="0.2">
      <c r="A537" s="38" t="s">
        <v>949</v>
      </c>
      <c r="B537" s="385" t="s">
        <v>950</v>
      </c>
      <c r="C537" s="386"/>
      <c r="D537" s="386"/>
      <c r="E537" s="35">
        <v>-432.02</v>
      </c>
      <c r="F537" s="35">
        <v>0</v>
      </c>
      <c r="H537" s="35">
        <v>0</v>
      </c>
      <c r="J537" s="35">
        <v>-432.02</v>
      </c>
    </row>
    <row r="538" spans="1:10" ht="15.95" hidden="1" customHeight="1" x14ac:dyDescent="0.2">
      <c r="A538" s="38" t="s">
        <v>951</v>
      </c>
      <c r="B538" s="385" t="s">
        <v>952</v>
      </c>
      <c r="C538" s="386"/>
      <c r="D538" s="386"/>
      <c r="E538" s="35">
        <v>-107.73</v>
      </c>
      <c r="F538" s="35">
        <v>0</v>
      </c>
      <c r="H538" s="35">
        <v>0</v>
      </c>
      <c r="J538" s="35">
        <v>-107.73</v>
      </c>
    </row>
    <row r="539" spans="1:10" ht="15.95" hidden="1" customHeight="1" x14ac:dyDescent="0.2">
      <c r="A539" s="38" t="s">
        <v>953</v>
      </c>
      <c r="B539" s="385" t="s">
        <v>954</v>
      </c>
      <c r="C539" s="386"/>
      <c r="D539" s="386"/>
      <c r="E539" s="35">
        <v>-514.91999999999996</v>
      </c>
      <c r="F539" s="35">
        <v>0</v>
      </c>
      <c r="H539" s="35">
        <v>0</v>
      </c>
      <c r="J539" s="35">
        <v>-514.91999999999996</v>
      </c>
    </row>
    <row r="540" spans="1:10" ht="15.95" hidden="1" customHeight="1" x14ac:dyDescent="0.2">
      <c r="A540" s="38" t="s">
        <v>955</v>
      </c>
      <c r="B540" s="385" t="s">
        <v>956</v>
      </c>
      <c r="C540" s="386"/>
      <c r="D540" s="386"/>
      <c r="E540" s="35">
        <v>-18892.57</v>
      </c>
      <c r="F540" s="35">
        <v>0</v>
      </c>
      <c r="H540" s="35">
        <v>0</v>
      </c>
      <c r="J540" s="35">
        <v>-18892.57</v>
      </c>
    </row>
    <row r="541" spans="1:10" ht="15.95" hidden="1" customHeight="1" x14ac:dyDescent="0.2">
      <c r="A541" s="38" t="s">
        <v>957</v>
      </c>
      <c r="B541" s="385" t="s">
        <v>958</v>
      </c>
      <c r="C541" s="386"/>
      <c r="D541" s="386"/>
      <c r="E541" s="35">
        <v>-2092.9</v>
      </c>
      <c r="F541" s="35">
        <v>0</v>
      </c>
      <c r="H541" s="35">
        <v>0</v>
      </c>
      <c r="J541" s="35">
        <v>-2092.9</v>
      </c>
    </row>
    <row r="542" spans="1:10" ht="27.95" hidden="1" customHeight="1" x14ac:dyDescent="0.2">
      <c r="A542" s="38" t="s">
        <v>959</v>
      </c>
      <c r="B542" s="385" t="s">
        <v>960</v>
      </c>
      <c r="C542" s="386"/>
      <c r="D542" s="386"/>
      <c r="E542" s="35">
        <v>-198.92</v>
      </c>
      <c r="F542" s="35">
        <v>0</v>
      </c>
      <c r="H542" s="35">
        <v>0</v>
      </c>
      <c r="J542" s="35">
        <v>-198.92</v>
      </c>
    </row>
    <row r="543" spans="1:10" ht="15.95" hidden="1" customHeight="1" x14ac:dyDescent="0.2">
      <c r="A543" s="38" t="s">
        <v>961</v>
      </c>
      <c r="B543" s="385" t="s">
        <v>962</v>
      </c>
      <c r="C543" s="386"/>
      <c r="D543" s="386"/>
      <c r="E543" s="35">
        <v>-631.79999999999995</v>
      </c>
      <c r="F543" s="35">
        <v>0</v>
      </c>
      <c r="H543" s="35">
        <v>0</v>
      </c>
      <c r="J543" s="35">
        <v>-631.79999999999995</v>
      </c>
    </row>
    <row r="544" spans="1:10" ht="15.95" hidden="1" customHeight="1" x14ac:dyDescent="0.2">
      <c r="A544" s="38" t="s">
        <v>963</v>
      </c>
      <c r="B544" s="385" t="s">
        <v>964</v>
      </c>
      <c r="C544" s="386"/>
      <c r="D544" s="386"/>
      <c r="E544" s="35">
        <v>-11.83</v>
      </c>
      <c r="F544" s="35">
        <v>0</v>
      </c>
      <c r="H544" s="35">
        <v>0</v>
      </c>
      <c r="J544" s="35">
        <v>-11.83</v>
      </c>
    </row>
    <row r="545" spans="1:10" ht="15.95" hidden="1" customHeight="1" x14ac:dyDescent="0.2">
      <c r="A545" s="38" t="s">
        <v>965</v>
      </c>
      <c r="B545" s="385" t="s">
        <v>966</v>
      </c>
      <c r="C545" s="386"/>
      <c r="D545" s="386"/>
      <c r="E545" s="35">
        <v>-1312.41</v>
      </c>
      <c r="F545" s="35">
        <v>0</v>
      </c>
      <c r="H545" s="35">
        <v>0</v>
      </c>
      <c r="J545" s="35">
        <v>-1312.41</v>
      </c>
    </row>
    <row r="546" spans="1:10" ht="15.95" hidden="1" customHeight="1" x14ac:dyDescent="0.2">
      <c r="A546" s="38" t="s">
        <v>967</v>
      </c>
      <c r="B546" s="385" t="s">
        <v>968</v>
      </c>
      <c r="C546" s="386"/>
      <c r="D546" s="386"/>
      <c r="E546" s="35">
        <v>-334.96</v>
      </c>
      <c r="F546" s="35">
        <v>0</v>
      </c>
      <c r="H546" s="35">
        <v>0</v>
      </c>
      <c r="J546" s="35">
        <v>-334.96</v>
      </c>
    </row>
    <row r="547" spans="1:10" ht="15.95" hidden="1" customHeight="1" x14ac:dyDescent="0.2">
      <c r="A547" s="38" t="s">
        <v>969</v>
      </c>
      <c r="B547" s="385" t="s">
        <v>970</v>
      </c>
      <c r="C547" s="386"/>
      <c r="D547" s="386"/>
      <c r="E547" s="35">
        <v>-59.39</v>
      </c>
      <c r="F547" s="35">
        <v>0</v>
      </c>
      <c r="H547" s="35">
        <v>0</v>
      </c>
      <c r="J547" s="35">
        <v>-59.39</v>
      </c>
    </row>
    <row r="548" spans="1:10" ht="15.95" hidden="1" customHeight="1" x14ac:dyDescent="0.2">
      <c r="A548" s="38" t="s">
        <v>971</v>
      </c>
      <c r="B548" s="385" t="s">
        <v>972</v>
      </c>
      <c r="C548" s="386"/>
      <c r="D548" s="386"/>
      <c r="E548" s="35">
        <v>-1929.28</v>
      </c>
      <c r="F548" s="35">
        <v>0</v>
      </c>
      <c r="H548" s="35">
        <v>0</v>
      </c>
      <c r="J548" s="35">
        <v>-1929.28</v>
      </c>
    </row>
    <row r="549" spans="1:10" ht="15.95" hidden="1" customHeight="1" x14ac:dyDescent="0.2">
      <c r="A549" s="38" t="s">
        <v>973</v>
      </c>
      <c r="B549" s="385" t="s">
        <v>974</v>
      </c>
      <c r="C549" s="386"/>
      <c r="D549" s="386"/>
      <c r="E549" s="35">
        <v>-465600.1</v>
      </c>
      <c r="F549" s="35">
        <v>0</v>
      </c>
      <c r="H549" s="35">
        <v>0</v>
      </c>
      <c r="J549" s="35">
        <v>-465600.1</v>
      </c>
    </row>
    <row r="550" spans="1:10" ht="15.95" hidden="1" customHeight="1" x14ac:dyDescent="0.2">
      <c r="A550" s="38">
        <v>2170104</v>
      </c>
      <c r="B550" s="385" t="s">
        <v>975</v>
      </c>
      <c r="C550" s="386"/>
      <c r="D550" s="386"/>
      <c r="E550" s="35">
        <v>-710988.14</v>
      </c>
      <c r="F550" s="35">
        <v>7159.12</v>
      </c>
      <c r="H550" s="35">
        <v>8952.67</v>
      </c>
      <c r="J550" s="35">
        <v>-712781.69</v>
      </c>
    </row>
    <row r="551" spans="1:10" ht="15.95" hidden="1" customHeight="1" x14ac:dyDescent="0.2">
      <c r="A551" s="38" t="s">
        <v>976</v>
      </c>
      <c r="B551" s="385" t="s">
        <v>977</v>
      </c>
      <c r="C551" s="386"/>
      <c r="D551" s="386"/>
      <c r="E551" s="35">
        <v>-849.06</v>
      </c>
      <c r="F551" s="35">
        <v>0</v>
      </c>
      <c r="H551" s="35">
        <v>0</v>
      </c>
      <c r="J551" s="35">
        <v>-849.06</v>
      </c>
    </row>
    <row r="552" spans="1:10" ht="15.95" hidden="1" customHeight="1" x14ac:dyDescent="0.2">
      <c r="A552" s="38" t="s">
        <v>978</v>
      </c>
      <c r="B552" s="385" t="s">
        <v>979</v>
      </c>
      <c r="C552" s="386"/>
      <c r="D552" s="386"/>
      <c r="E552" s="35">
        <v>-27781.55</v>
      </c>
      <c r="F552" s="35">
        <v>0</v>
      </c>
      <c r="H552" s="35">
        <v>0</v>
      </c>
      <c r="J552" s="35">
        <v>-27781.55</v>
      </c>
    </row>
    <row r="553" spans="1:10" ht="15.95" hidden="1" customHeight="1" x14ac:dyDescent="0.2">
      <c r="A553" s="38" t="s">
        <v>980</v>
      </c>
      <c r="B553" s="385" t="s">
        <v>981</v>
      </c>
      <c r="C553" s="386"/>
      <c r="D553" s="386"/>
      <c r="E553" s="35">
        <v>-5267.08</v>
      </c>
      <c r="F553" s="35">
        <v>0</v>
      </c>
      <c r="H553" s="35">
        <v>927.94</v>
      </c>
      <c r="J553" s="35">
        <v>-6195.02</v>
      </c>
    </row>
    <row r="554" spans="1:10" ht="15.95" hidden="1" customHeight="1" x14ac:dyDescent="0.2">
      <c r="A554" s="38" t="s">
        <v>982</v>
      </c>
      <c r="B554" s="385" t="s">
        <v>983</v>
      </c>
      <c r="C554" s="386"/>
      <c r="D554" s="386"/>
      <c r="E554" s="35">
        <v>-63.22</v>
      </c>
      <c r="F554" s="35">
        <v>0</v>
      </c>
      <c r="H554" s="35">
        <v>0</v>
      </c>
      <c r="J554" s="35">
        <v>-63.22</v>
      </c>
    </row>
    <row r="555" spans="1:10" ht="15.95" hidden="1" customHeight="1" x14ac:dyDescent="0.2">
      <c r="A555" s="38" t="s">
        <v>984</v>
      </c>
      <c r="B555" s="385" t="s">
        <v>985</v>
      </c>
      <c r="C555" s="386"/>
      <c r="D555" s="386"/>
      <c r="E555" s="35">
        <v>-1989.74</v>
      </c>
      <c r="F555" s="35">
        <v>927.94</v>
      </c>
      <c r="H555" s="35">
        <v>0</v>
      </c>
      <c r="J555" s="35">
        <v>-1061.8</v>
      </c>
    </row>
    <row r="556" spans="1:10" ht="15.95" hidden="1" customHeight="1" x14ac:dyDescent="0.2">
      <c r="A556" s="38" t="s">
        <v>986</v>
      </c>
      <c r="B556" s="385" t="s">
        <v>987</v>
      </c>
      <c r="C556" s="386"/>
      <c r="D556" s="386"/>
      <c r="E556" s="35">
        <v>-134339.62</v>
      </c>
      <c r="F556" s="35">
        <v>0</v>
      </c>
      <c r="H556" s="35">
        <v>0</v>
      </c>
      <c r="J556" s="35">
        <v>-134339.62</v>
      </c>
    </row>
    <row r="557" spans="1:10" ht="15.95" hidden="1" customHeight="1" x14ac:dyDescent="0.2">
      <c r="A557" s="38" t="s">
        <v>988</v>
      </c>
      <c r="B557" s="385" t="s">
        <v>989</v>
      </c>
      <c r="C557" s="386"/>
      <c r="D557" s="386"/>
      <c r="E557" s="35">
        <v>-176.92</v>
      </c>
      <c r="F557" s="35">
        <v>0</v>
      </c>
      <c r="H557" s="35">
        <v>0</v>
      </c>
      <c r="J557" s="35">
        <v>-176.92</v>
      </c>
    </row>
    <row r="558" spans="1:10" ht="15.95" hidden="1" customHeight="1" x14ac:dyDescent="0.2">
      <c r="A558" s="38" t="s">
        <v>990</v>
      </c>
      <c r="B558" s="385" t="s">
        <v>991</v>
      </c>
      <c r="C558" s="386"/>
      <c r="D558" s="386"/>
      <c r="E558" s="35">
        <v>-19700.63</v>
      </c>
      <c r="F558" s="35">
        <v>0</v>
      </c>
      <c r="H558" s="35">
        <v>0</v>
      </c>
      <c r="J558" s="35">
        <v>-19700.63</v>
      </c>
    </row>
    <row r="559" spans="1:10" ht="15.95" hidden="1" customHeight="1" x14ac:dyDescent="0.2">
      <c r="A559" s="38" t="s">
        <v>992</v>
      </c>
      <c r="B559" s="385" t="s">
        <v>993</v>
      </c>
      <c r="C559" s="386"/>
      <c r="D559" s="386"/>
      <c r="E559" s="35">
        <v>-201984.8</v>
      </c>
      <c r="F559" s="35">
        <v>0</v>
      </c>
      <c r="H559" s="35">
        <v>0</v>
      </c>
      <c r="J559" s="35">
        <v>-201984.8</v>
      </c>
    </row>
    <row r="560" spans="1:10" ht="15.95" hidden="1" customHeight="1" x14ac:dyDescent="0.2">
      <c r="A560" s="38" t="s">
        <v>994</v>
      </c>
      <c r="B560" s="385" t="s">
        <v>995</v>
      </c>
      <c r="C560" s="386"/>
      <c r="D560" s="386"/>
      <c r="E560" s="35">
        <v>-447.8</v>
      </c>
      <c r="F560" s="35">
        <v>0</v>
      </c>
      <c r="H560" s="35">
        <v>0</v>
      </c>
      <c r="J560" s="35">
        <v>-447.8</v>
      </c>
    </row>
    <row r="561" spans="1:10" ht="15.95" hidden="1" customHeight="1" x14ac:dyDescent="0.2">
      <c r="A561" s="38" t="s">
        <v>996</v>
      </c>
      <c r="B561" s="385" t="s">
        <v>997</v>
      </c>
      <c r="C561" s="386"/>
      <c r="D561" s="386"/>
      <c r="E561" s="35">
        <v>-68.72</v>
      </c>
      <c r="F561" s="35">
        <v>0</v>
      </c>
      <c r="H561" s="35">
        <v>0</v>
      </c>
      <c r="J561" s="35">
        <v>-68.72</v>
      </c>
    </row>
    <row r="562" spans="1:10" ht="15.95" hidden="1" customHeight="1" x14ac:dyDescent="0.2">
      <c r="A562" s="38" t="s">
        <v>998</v>
      </c>
      <c r="B562" s="385" t="s">
        <v>999</v>
      </c>
      <c r="C562" s="386"/>
      <c r="D562" s="386"/>
      <c r="E562" s="35">
        <v>-1189.55</v>
      </c>
      <c r="F562" s="35">
        <v>0</v>
      </c>
      <c r="H562" s="35">
        <v>0</v>
      </c>
      <c r="J562" s="35">
        <v>-1189.55</v>
      </c>
    </row>
    <row r="563" spans="1:10" ht="15.95" hidden="1" customHeight="1" x14ac:dyDescent="0.2">
      <c r="A563" s="38" t="s">
        <v>1000</v>
      </c>
      <c r="B563" s="385" t="s">
        <v>1001</v>
      </c>
      <c r="C563" s="386"/>
      <c r="D563" s="386"/>
      <c r="E563" s="35">
        <v>-774.09</v>
      </c>
      <c r="F563" s="35">
        <v>0</v>
      </c>
      <c r="H563" s="35">
        <v>0</v>
      </c>
      <c r="J563" s="35">
        <v>-774.09</v>
      </c>
    </row>
    <row r="564" spans="1:10" ht="15.95" hidden="1" customHeight="1" x14ac:dyDescent="0.2">
      <c r="A564" s="38" t="s">
        <v>1002</v>
      </c>
      <c r="B564" s="385" t="s">
        <v>1003</v>
      </c>
      <c r="C564" s="386"/>
      <c r="D564" s="386"/>
      <c r="E564" s="35">
        <v>-360</v>
      </c>
      <c r="F564" s="35">
        <v>0</v>
      </c>
      <c r="H564" s="35">
        <v>0</v>
      </c>
      <c r="J564" s="35">
        <v>-360</v>
      </c>
    </row>
    <row r="565" spans="1:10" ht="15.95" hidden="1" customHeight="1" x14ac:dyDescent="0.2">
      <c r="A565" s="38" t="s">
        <v>1004</v>
      </c>
      <c r="B565" s="385" t="s">
        <v>1005</v>
      </c>
      <c r="C565" s="386"/>
      <c r="D565" s="386"/>
      <c r="E565" s="35">
        <v>-2180.19</v>
      </c>
      <c r="F565" s="35">
        <v>0</v>
      </c>
      <c r="H565" s="35">
        <v>0</v>
      </c>
      <c r="J565" s="35">
        <v>-2180.19</v>
      </c>
    </row>
    <row r="566" spans="1:10" ht="15.95" hidden="1" customHeight="1" x14ac:dyDescent="0.2">
      <c r="A566" s="38" t="s">
        <v>1006</v>
      </c>
      <c r="B566" s="385" t="s">
        <v>1007</v>
      </c>
      <c r="C566" s="386"/>
      <c r="D566" s="386"/>
      <c r="E566" s="35">
        <v>-29612.55</v>
      </c>
      <c r="F566" s="35">
        <v>6231.18</v>
      </c>
      <c r="H566" s="35">
        <v>0</v>
      </c>
      <c r="J566" s="35">
        <v>-23381.37</v>
      </c>
    </row>
    <row r="567" spans="1:10" ht="15.95" hidden="1" customHeight="1" x14ac:dyDescent="0.2">
      <c r="A567" s="38" t="s">
        <v>1008</v>
      </c>
      <c r="B567" s="385" t="s">
        <v>1009</v>
      </c>
      <c r="C567" s="386"/>
      <c r="D567" s="386"/>
      <c r="E567" s="35">
        <v>-36.67</v>
      </c>
      <c r="F567" s="35">
        <v>0</v>
      </c>
      <c r="H567" s="35">
        <v>0</v>
      </c>
      <c r="J567" s="35">
        <v>-36.67</v>
      </c>
    </row>
    <row r="568" spans="1:10" ht="15.95" hidden="1" customHeight="1" x14ac:dyDescent="0.2">
      <c r="A568" s="38" t="s">
        <v>1010</v>
      </c>
      <c r="B568" s="385" t="s">
        <v>1011</v>
      </c>
      <c r="C568" s="386"/>
      <c r="D568" s="386"/>
      <c r="E568" s="35">
        <v>-130436.47</v>
      </c>
      <c r="F568" s="35">
        <v>0</v>
      </c>
      <c r="H568" s="35">
        <v>0</v>
      </c>
      <c r="J568" s="35">
        <v>-130436.47</v>
      </c>
    </row>
    <row r="569" spans="1:10" ht="15.95" hidden="1" customHeight="1" x14ac:dyDescent="0.2">
      <c r="A569" s="38" t="s">
        <v>1012</v>
      </c>
      <c r="B569" s="385" t="s">
        <v>1013</v>
      </c>
      <c r="C569" s="386"/>
      <c r="D569" s="386"/>
      <c r="E569" s="35">
        <v>-90761.279999999999</v>
      </c>
      <c r="F569" s="35">
        <v>0</v>
      </c>
      <c r="H569" s="35">
        <v>0</v>
      </c>
      <c r="J569" s="35">
        <v>-90761.279999999999</v>
      </c>
    </row>
    <row r="570" spans="1:10" ht="15.95" hidden="1" customHeight="1" x14ac:dyDescent="0.2">
      <c r="A570" s="38" t="s">
        <v>1014</v>
      </c>
      <c r="B570" s="385" t="s">
        <v>1015</v>
      </c>
      <c r="C570" s="386"/>
      <c r="D570" s="386"/>
      <c r="E570" s="35">
        <v>-8820.4599999999991</v>
      </c>
      <c r="F570" s="35">
        <v>0</v>
      </c>
      <c r="H570" s="35">
        <v>0</v>
      </c>
      <c r="J570" s="35">
        <v>-8820.4599999999991</v>
      </c>
    </row>
    <row r="571" spans="1:10" ht="15.95" hidden="1" customHeight="1" x14ac:dyDescent="0.2">
      <c r="A571" s="38" t="s">
        <v>1016</v>
      </c>
      <c r="B571" s="385" t="s">
        <v>1017</v>
      </c>
      <c r="C571" s="386"/>
      <c r="D571" s="386"/>
      <c r="E571" s="35">
        <v>-670.72</v>
      </c>
      <c r="F571" s="35">
        <v>0</v>
      </c>
      <c r="H571" s="35">
        <v>0</v>
      </c>
      <c r="J571" s="35">
        <v>-670.72</v>
      </c>
    </row>
    <row r="572" spans="1:10" ht="15.95" hidden="1" customHeight="1" x14ac:dyDescent="0.2">
      <c r="A572" s="38" t="s">
        <v>1018</v>
      </c>
      <c r="B572" s="385" t="s">
        <v>1019</v>
      </c>
      <c r="C572" s="386"/>
      <c r="D572" s="386"/>
      <c r="E572" s="35">
        <v>-2081.5100000000002</v>
      </c>
      <c r="F572" s="35">
        <v>0</v>
      </c>
      <c r="H572" s="35">
        <v>1139.6400000000001</v>
      </c>
      <c r="J572" s="35">
        <v>-3221.15</v>
      </c>
    </row>
    <row r="573" spans="1:10" ht="15.95" hidden="1" customHeight="1" x14ac:dyDescent="0.2">
      <c r="A573" s="38" t="s">
        <v>1020</v>
      </c>
      <c r="B573" s="385" t="s">
        <v>1021</v>
      </c>
      <c r="C573" s="386"/>
      <c r="D573" s="386"/>
      <c r="E573" s="35">
        <v>-200.03</v>
      </c>
      <c r="F573" s="35">
        <v>0</v>
      </c>
      <c r="H573" s="35">
        <v>0</v>
      </c>
      <c r="J573" s="35">
        <v>-200.03</v>
      </c>
    </row>
    <row r="574" spans="1:10" ht="15.95" hidden="1" customHeight="1" x14ac:dyDescent="0.2">
      <c r="A574" s="38" t="s">
        <v>1022</v>
      </c>
      <c r="B574" s="385" t="s">
        <v>1023</v>
      </c>
      <c r="C574" s="386"/>
      <c r="D574" s="386"/>
      <c r="E574" s="35">
        <v>-98.61</v>
      </c>
      <c r="F574" s="35">
        <v>0</v>
      </c>
      <c r="H574" s="35">
        <v>240.64</v>
      </c>
      <c r="J574" s="35">
        <v>-339.25</v>
      </c>
    </row>
    <row r="575" spans="1:10" ht="15.95" hidden="1" customHeight="1" x14ac:dyDescent="0.2">
      <c r="A575" s="38" t="s">
        <v>1024</v>
      </c>
      <c r="B575" s="385" t="s">
        <v>1025</v>
      </c>
      <c r="C575" s="386"/>
      <c r="D575" s="386"/>
      <c r="E575" s="35">
        <v>-200.03</v>
      </c>
      <c r="F575" s="35">
        <v>0</v>
      </c>
      <c r="H575" s="35">
        <v>0</v>
      </c>
      <c r="J575" s="35">
        <v>-200.03</v>
      </c>
    </row>
    <row r="576" spans="1:10" ht="15.95" hidden="1" customHeight="1" x14ac:dyDescent="0.2">
      <c r="A576" s="38" t="s">
        <v>1026</v>
      </c>
      <c r="B576" s="385" t="s">
        <v>1027</v>
      </c>
      <c r="C576" s="386"/>
      <c r="D576" s="386"/>
      <c r="E576" s="35">
        <v>-508.19</v>
      </c>
      <c r="F576" s="35">
        <v>0</v>
      </c>
      <c r="H576" s="35">
        <v>0</v>
      </c>
      <c r="J576" s="35">
        <v>-508.19</v>
      </c>
    </row>
    <row r="577" spans="1:10" ht="15.95" hidden="1" customHeight="1" x14ac:dyDescent="0.2">
      <c r="A577" s="38" t="s">
        <v>1028</v>
      </c>
      <c r="B577" s="385" t="s">
        <v>1029</v>
      </c>
      <c r="C577" s="386"/>
      <c r="D577" s="386"/>
      <c r="E577" s="35">
        <v>-30882.47</v>
      </c>
      <c r="F577" s="35">
        <v>0</v>
      </c>
      <c r="H577" s="35">
        <v>0</v>
      </c>
      <c r="J577" s="35">
        <v>-30882.47</v>
      </c>
    </row>
    <row r="578" spans="1:10" ht="15.95" hidden="1" customHeight="1" x14ac:dyDescent="0.2">
      <c r="A578" s="38" t="s">
        <v>1030</v>
      </c>
      <c r="B578" s="385" t="s">
        <v>1031</v>
      </c>
      <c r="C578" s="386"/>
      <c r="D578" s="386"/>
      <c r="E578" s="35">
        <v>-2991.81</v>
      </c>
      <c r="F578" s="35">
        <v>0</v>
      </c>
      <c r="H578" s="35">
        <v>0</v>
      </c>
      <c r="J578" s="35">
        <v>-2991.81</v>
      </c>
    </row>
    <row r="579" spans="1:10" ht="15.95" hidden="1" customHeight="1" x14ac:dyDescent="0.2">
      <c r="A579" s="38" t="s">
        <v>1032</v>
      </c>
      <c r="B579" s="385" t="s">
        <v>1033</v>
      </c>
      <c r="C579" s="386"/>
      <c r="D579" s="386"/>
      <c r="E579" s="35">
        <v>-304.25</v>
      </c>
      <c r="F579" s="35">
        <v>0</v>
      </c>
      <c r="H579" s="35">
        <v>281.58</v>
      </c>
      <c r="J579" s="35">
        <v>-585.83000000000004</v>
      </c>
    </row>
    <row r="580" spans="1:10" ht="15.95" hidden="1" customHeight="1" x14ac:dyDescent="0.2">
      <c r="A580" s="38" t="s">
        <v>1034</v>
      </c>
      <c r="B580" s="385" t="s">
        <v>1035</v>
      </c>
      <c r="C580" s="386"/>
      <c r="D580" s="386"/>
      <c r="E580" s="35">
        <v>-101.42</v>
      </c>
      <c r="F580" s="35">
        <v>0</v>
      </c>
      <c r="H580" s="35">
        <v>131.69</v>
      </c>
      <c r="J580" s="35">
        <v>-233.11</v>
      </c>
    </row>
    <row r="581" spans="1:10" ht="15.95" hidden="1" customHeight="1" x14ac:dyDescent="0.2">
      <c r="A581" s="38" t="s">
        <v>1036</v>
      </c>
      <c r="B581" s="385" t="s">
        <v>1037</v>
      </c>
      <c r="C581" s="386"/>
      <c r="D581" s="386"/>
      <c r="E581" s="35">
        <v>-48.41</v>
      </c>
      <c r="F581" s="35">
        <v>0</v>
      </c>
      <c r="H581" s="35">
        <v>0</v>
      </c>
      <c r="J581" s="35">
        <v>-48.41</v>
      </c>
    </row>
    <row r="582" spans="1:10" ht="15.95" hidden="1" customHeight="1" x14ac:dyDescent="0.2">
      <c r="A582" s="38" t="s">
        <v>1038</v>
      </c>
      <c r="B582" s="385" t="s">
        <v>1039</v>
      </c>
      <c r="C582" s="386"/>
      <c r="D582" s="386"/>
      <c r="E582" s="35">
        <v>-16060.29</v>
      </c>
      <c r="F582" s="35">
        <v>0</v>
      </c>
      <c r="H582" s="35">
        <v>0</v>
      </c>
      <c r="J582" s="35">
        <v>-16060.29</v>
      </c>
    </row>
    <row r="583" spans="1:10" ht="15.95" hidden="1" customHeight="1" x14ac:dyDescent="0.2">
      <c r="A583" s="38" t="s">
        <v>1040</v>
      </c>
      <c r="B583" s="385" t="s">
        <v>1041</v>
      </c>
      <c r="C583" s="386"/>
      <c r="D583" s="386"/>
      <c r="E583" s="35">
        <v>0</v>
      </c>
      <c r="F583" s="35">
        <v>0</v>
      </c>
      <c r="H583" s="35">
        <v>6231.18</v>
      </c>
      <c r="J583" s="35">
        <v>-6231.18</v>
      </c>
    </row>
    <row r="584" spans="1:10" ht="15.95" hidden="1" customHeight="1" x14ac:dyDescent="0.2">
      <c r="A584" s="38">
        <v>218</v>
      </c>
      <c r="B584" s="385" t="s">
        <v>1042</v>
      </c>
      <c r="C584" s="386"/>
      <c r="D584" s="386"/>
      <c r="E584" s="35">
        <v>-1040133.12</v>
      </c>
      <c r="F584" s="35">
        <v>600001.93000000005</v>
      </c>
      <c r="H584" s="35">
        <v>22.12</v>
      </c>
      <c r="J584" s="35">
        <v>-440153.31</v>
      </c>
    </row>
    <row r="585" spans="1:10" ht="15.95" hidden="1" customHeight="1" x14ac:dyDescent="0.2">
      <c r="A585" s="38">
        <v>21801</v>
      </c>
      <c r="B585" s="385" t="s">
        <v>1043</v>
      </c>
      <c r="C585" s="386"/>
      <c r="D585" s="386"/>
      <c r="E585" s="35">
        <v>111332.6</v>
      </c>
      <c r="F585" s="35">
        <v>1.93</v>
      </c>
      <c r="H585" s="35">
        <v>22.12</v>
      </c>
      <c r="J585" s="35">
        <v>111312.41</v>
      </c>
    </row>
    <row r="586" spans="1:10" ht="15.95" hidden="1" customHeight="1" x14ac:dyDescent="0.2">
      <c r="A586" s="38">
        <v>2180102</v>
      </c>
      <c r="B586" s="385" t="s">
        <v>1044</v>
      </c>
      <c r="C586" s="386"/>
      <c r="D586" s="386"/>
      <c r="E586" s="35">
        <v>-91861.41</v>
      </c>
      <c r="F586" s="35">
        <v>1.93</v>
      </c>
      <c r="H586" s="35">
        <v>8.65</v>
      </c>
      <c r="J586" s="35">
        <v>-91868.13</v>
      </c>
    </row>
    <row r="587" spans="1:10" ht="15.95" hidden="1" customHeight="1" x14ac:dyDescent="0.2">
      <c r="A587" s="38" t="s">
        <v>1045</v>
      </c>
      <c r="B587" s="385" t="s">
        <v>1046</v>
      </c>
      <c r="C587" s="386"/>
      <c r="D587" s="386"/>
      <c r="E587" s="35">
        <v>-91861.41</v>
      </c>
      <c r="F587" s="35">
        <v>1.93</v>
      </c>
      <c r="H587" s="35">
        <v>8.65</v>
      </c>
      <c r="J587" s="35">
        <v>-91868.13</v>
      </c>
    </row>
    <row r="588" spans="1:10" ht="15.95" hidden="1" customHeight="1" x14ac:dyDescent="0.2">
      <c r="A588" s="38">
        <v>2180103</v>
      </c>
      <c r="B588" s="385" t="s">
        <v>1047</v>
      </c>
      <c r="C588" s="386"/>
      <c r="D588" s="386"/>
      <c r="E588" s="35">
        <v>203194.01</v>
      </c>
      <c r="F588" s="35">
        <v>0</v>
      </c>
      <c r="H588" s="35">
        <v>13.47</v>
      </c>
      <c r="J588" s="35">
        <v>203180.54</v>
      </c>
    </row>
    <row r="589" spans="1:10" ht="15.95" hidden="1" customHeight="1" x14ac:dyDescent="0.2">
      <c r="A589" s="38" t="s">
        <v>1048</v>
      </c>
      <c r="B589" s="385" t="s">
        <v>1049</v>
      </c>
      <c r="C589" s="386"/>
      <c r="D589" s="386"/>
      <c r="E589" s="35">
        <v>203194.01</v>
      </c>
      <c r="F589" s="35">
        <v>0</v>
      </c>
      <c r="H589" s="35">
        <v>13.47</v>
      </c>
      <c r="J589" s="35">
        <v>203180.54</v>
      </c>
    </row>
    <row r="590" spans="1:10" ht="15.95" hidden="1" customHeight="1" x14ac:dyDescent="0.2">
      <c r="A590" s="38">
        <v>21802</v>
      </c>
      <c r="B590" s="385" t="s">
        <v>1050</v>
      </c>
      <c r="C590" s="386"/>
      <c r="D590" s="386"/>
      <c r="E590" s="35">
        <v>-1151465.72</v>
      </c>
      <c r="F590" s="35">
        <v>600000</v>
      </c>
      <c r="H590" s="35">
        <v>0</v>
      </c>
      <c r="J590" s="35">
        <v>-551465.72</v>
      </c>
    </row>
    <row r="591" spans="1:10" ht="15.95" hidden="1" customHeight="1" x14ac:dyDescent="0.2">
      <c r="A591" s="38">
        <v>2180201</v>
      </c>
      <c r="B591" s="385" t="s">
        <v>1051</v>
      </c>
      <c r="C591" s="386"/>
      <c r="D591" s="386"/>
      <c r="E591" s="35">
        <v>-633549.69999999995</v>
      </c>
      <c r="F591" s="35">
        <v>600000</v>
      </c>
      <c r="H591" s="35">
        <v>0</v>
      </c>
      <c r="J591" s="35">
        <v>-33549.699999999997</v>
      </c>
    </row>
    <row r="592" spans="1:10" ht="15.95" hidden="1" customHeight="1" x14ac:dyDescent="0.2">
      <c r="A592" s="38" t="s">
        <v>1052</v>
      </c>
      <c r="B592" s="385" t="s">
        <v>1053</v>
      </c>
      <c r="C592" s="386"/>
      <c r="D592" s="386"/>
      <c r="E592" s="35">
        <v>-633549.69999999995</v>
      </c>
      <c r="F592" s="35">
        <v>600000</v>
      </c>
      <c r="H592" s="35">
        <v>0</v>
      </c>
      <c r="J592" s="35">
        <v>-33549.699999999997</v>
      </c>
    </row>
    <row r="593" spans="1:10" ht="15.95" hidden="1" customHeight="1" x14ac:dyDescent="0.2">
      <c r="A593" s="38">
        <v>2180202</v>
      </c>
      <c r="B593" s="385" t="s">
        <v>1054</v>
      </c>
      <c r="C593" s="386"/>
      <c r="D593" s="386"/>
      <c r="E593" s="35">
        <v>-3333.33</v>
      </c>
      <c r="F593" s="35">
        <v>0</v>
      </c>
      <c r="H593" s="35">
        <v>0</v>
      </c>
      <c r="J593" s="35">
        <v>-3333.33</v>
      </c>
    </row>
    <row r="594" spans="1:10" ht="15.95" hidden="1" customHeight="1" x14ac:dyDescent="0.2">
      <c r="A594" s="38" t="s">
        <v>1055</v>
      </c>
      <c r="B594" s="385" t="s">
        <v>1054</v>
      </c>
      <c r="C594" s="386"/>
      <c r="D594" s="386"/>
      <c r="E594" s="35">
        <v>-3333.33</v>
      </c>
      <c r="F594" s="35">
        <v>0</v>
      </c>
      <c r="H594" s="35">
        <v>0</v>
      </c>
      <c r="J594" s="35">
        <v>-3333.33</v>
      </c>
    </row>
    <row r="595" spans="1:10" ht="15.95" hidden="1" customHeight="1" x14ac:dyDescent="0.2">
      <c r="A595" s="38">
        <v>2180203</v>
      </c>
      <c r="B595" s="385" t="s">
        <v>1056</v>
      </c>
      <c r="C595" s="386"/>
      <c r="D595" s="386"/>
      <c r="E595" s="35">
        <v>-514582.69</v>
      </c>
      <c r="F595" s="35">
        <v>0</v>
      </c>
      <c r="H595" s="35">
        <v>0</v>
      </c>
      <c r="J595" s="35">
        <v>-514582.69</v>
      </c>
    </row>
    <row r="596" spans="1:10" ht="27.95" hidden="1" customHeight="1" x14ac:dyDescent="0.2">
      <c r="A596" s="38" t="s">
        <v>1057</v>
      </c>
      <c r="B596" s="385" t="s">
        <v>1056</v>
      </c>
      <c r="C596" s="386"/>
      <c r="D596" s="386"/>
      <c r="E596" s="35">
        <v>-514582.69</v>
      </c>
      <c r="F596" s="35">
        <v>0</v>
      </c>
      <c r="H596" s="35">
        <v>0</v>
      </c>
      <c r="J596" s="35">
        <v>-514582.69</v>
      </c>
    </row>
    <row r="597" spans="1:10" ht="15.95" hidden="1" customHeight="1" x14ac:dyDescent="0.2">
      <c r="A597" s="38">
        <v>219</v>
      </c>
      <c r="B597" s="385" t="s">
        <v>1058</v>
      </c>
      <c r="C597" s="386"/>
      <c r="D597" s="386"/>
      <c r="E597" s="35">
        <v>-2304882.84</v>
      </c>
      <c r="F597" s="35">
        <v>1702620.75</v>
      </c>
      <c r="H597" s="35">
        <v>2478480.48</v>
      </c>
      <c r="J597" s="35">
        <v>-3080742.57</v>
      </c>
    </row>
    <row r="598" spans="1:10" ht="15.95" hidden="1" customHeight="1" x14ac:dyDescent="0.2">
      <c r="A598" s="38">
        <v>21901</v>
      </c>
      <c r="B598" s="385" t="s">
        <v>1058</v>
      </c>
      <c r="C598" s="386"/>
      <c r="D598" s="386"/>
      <c r="E598" s="35">
        <v>-2304882.84</v>
      </c>
      <c r="F598" s="35">
        <v>1702620.75</v>
      </c>
      <c r="H598" s="35">
        <v>2478480.48</v>
      </c>
      <c r="J598" s="35">
        <v>-3080742.57</v>
      </c>
    </row>
    <row r="599" spans="1:10" ht="15.95" hidden="1" customHeight="1" x14ac:dyDescent="0.2">
      <c r="A599" s="38">
        <v>2190101</v>
      </c>
      <c r="B599" s="385" t="s">
        <v>1058</v>
      </c>
      <c r="C599" s="386"/>
      <c r="D599" s="386"/>
      <c r="E599" s="35">
        <v>-2304882.84</v>
      </c>
      <c r="F599" s="35">
        <v>1702620.75</v>
      </c>
      <c r="H599" s="35">
        <v>2478480.48</v>
      </c>
      <c r="J599" s="35">
        <v>-3080742.57</v>
      </c>
    </row>
    <row r="600" spans="1:10" ht="15.95" hidden="1" customHeight="1" x14ac:dyDescent="0.2">
      <c r="A600" s="38" t="s">
        <v>1059</v>
      </c>
      <c r="B600" s="385" t="s">
        <v>1060</v>
      </c>
      <c r="C600" s="386"/>
      <c r="D600" s="386"/>
      <c r="E600" s="35">
        <v>-4091.69</v>
      </c>
      <c r="F600" s="35">
        <v>46492.480000000003</v>
      </c>
      <c r="H600" s="35">
        <v>631384.28</v>
      </c>
      <c r="J600" s="35">
        <v>-588983.49</v>
      </c>
    </row>
    <row r="601" spans="1:10" ht="15.95" hidden="1" customHeight="1" x14ac:dyDescent="0.2">
      <c r="A601" s="38" t="s">
        <v>1061</v>
      </c>
      <c r="B601" s="385" t="s">
        <v>1062</v>
      </c>
      <c r="C601" s="386"/>
      <c r="D601" s="386"/>
      <c r="E601" s="35">
        <v>-1538801.86</v>
      </c>
      <c r="F601" s="35">
        <v>1279801.7</v>
      </c>
      <c r="H601" s="35">
        <v>1264550.8899999999</v>
      </c>
      <c r="J601" s="35">
        <v>-1523551.05</v>
      </c>
    </row>
    <row r="602" spans="1:10" ht="15.95" hidden="1" customHeight="1" x14ac:dyDescent="0.2">
      <c r="A602" s="38" t="s">
        <v>1063</v>
      </c>
      <c r="B602" s="385" t="s">
        <v>1064</v>
      </c>
      <c r="C602" s="386"/>
      <c r="D602" s="386"/>
      <c r="E602" s="35">
        <v>-410860.1</v>
      </c>
      <c r="F602" s="35">
        <v>280314.53999999998</v>
      </c>
      <c r="H602" s="35">
        <v>276242.59999999998</v>
      </c>
      <c r="J602" s="35">
        <v>-406788.16</v>
      </c>
    </row>
    <row r="603" spans="1:10" ht="15.95" hidden="1" customHeight="1" x14ac:dyDescent="0.2">
      <c r="A603" s="38" t="s">
        <v>1065</v>
      </c>
      <c r="B603" s="385" t="s">
        <v>1066</v>
      </c>
      <c r="C603" s="386"/>
      <c r="D603" s="386"/>
      <c r="E603" s="35">
        <v>-123104.15</v>
      </c>
      <c r="F603" s="35">
        <v>83786.850000000006</v>
      </c>
      <c r="H603" s="35">
        <v>82566.83</v>
      </c>
      <c r="J603" s="35">
        <v>-121884.13</v>
      </c>
    </row>
    <row r="604" spans="1:10" ht="15.95" hidden="1" customHeight="1" x14ac:dyDescent="0.2">
      <c r="A604" s="38" t="s">
        <v>1067</v>
      </c>
      <c r="B604" s="385" t="s">
        <v>1068</v>
      </c>
      <c r="C604" s="386"/>
      <c r="D604" s="386"/>
      <c r="E604" s="35">
        <v>-226461.63</v>
      </c>
      <c r="F604" s="35">
        <v>18</v>
      </c>
      <c r="H604" s="35">
        <v>8571.25</v>
      </c>
      <c r="J604" s="35">
        <v>-235014.88</v>
      </c>
    </row>
    <row r="605" spans="1:10" ht="15.95" hidden="1" customHeight="1" x14ac:dyDescent="0.2">
      <c r="A605" s="38" t="s">
        <v>1069</v>
      </c>
      <c r="B605" s="385" t="s">
        <v>1070</v>
      </c>
      <c r="C605" s="386"/>
      <c r="D605" s="386"/>
      <c r="E605" s="35">
        <v>-1204.8399999999999</v>
      </c>
      <c r="F605" s="35">
        <v>9392.85</v>
      </c>
      <c r="H605" s="35">
        <v>165558.96</v>
      </c>
      <c r="J605" s="35">
        <v>-157370.95000000001</v>
      </c>
    </row>
    <row r="606" spans="1:10" ht="15.95" hidden="1" customHeight="1" x14ac:dyDescent="0.2">
      <c r="A606" s="38" t="s">
        <v>1071</v>
      </c>
      <c r="B606" s="385" t="s">
        <v>1072</v>
      </c>
      <c r="C606" s="386"/>
      <c r="D606" s="386"/>
      <c r="E606" s="35">
        <v>-358.57</v>
      </c>
      <c r="F606" s="35">
        <v>2814.33</v>
      </c>
      <c r="H606" s="35">
        <v>49605.67</v>
      </c>
      <c r="J606" s="35">
        <v>-47149.91</v>
      </c>
    </row>
    <row r="607" spans="1:10" ht="15.95" hidden="1" customHeight="1" x14ac:dyDescent="0.2">
      <c r="A607" s="38">
        <v>22</v>
      </c>
      <c r="B607" s="385" t="s">
        <v>1073</v>
      </c>
      <c r="C607" s="386"/>
      <c r="D607" s="386"/>
      <c r="E607" s="35">
        <v>-53695589.869999997</v>
      </c>
      <c r="F607" s="35">
        <v>342870.18</v>
      </c>
      <c r="H607" s="35">
        <v>1658207.93</v>
      </c>
      <c r="J607" s="35">
        <v>-55010927.619999997</v>
      </c>
    </row>
    <row r="608" spans="1:10" ht="15.95" hidden="1" customHeight="1" x14ac:dyDescent="0.2">
      <c r="A608" s="38">
        <v>224</v>
      </c>
      <c r="B608" s="385" t="s">
        <v>1074</v>
      </c>
      <c r="C608" s="386"/>
      <c r="D608" s="386"/>
      <c r="E608" s="35">
        <v>-3540565.58</v>
      </c>
      <c r="F608" s="35">
        <v>342870.18</v>
      </c>
      <c r="H608" s="35">
        <v>116345.17</v>
      </c>
      <c r="J608" s="35">
        <v>-3314040.57</v>
      </c>
    </row>
    <row r="609" spans="1:10" ht="15.95" hidden="1" customHeight="1" x14ac:dyDescent="0.2">
      <c r="A609" s="38">
        <v>22401</v>
      </c>
      <c r="B609" s="385" t="s">
        <v>1075</v>
      </c>
      <c r="C609" s="386"/>
      <c r="D609" s="386"/>
      <c r="E609" s="35">
        <v>-3540565.58</v>
      </c>
      <c r="F609" s="35">
        <v>342870.18</v>
      </c>
      <c r="H609" s="35">
        <v>116345.17</v>
      </c>
      <c r="J609" s="35">
        <v>-3314040.57</v>
      </c>
    </row>
    <row r="610" spans="1:10" ht="15.95" hidden="1" customHeight="1" x14ac:dyDescent="0.2">
      <c r="A610" s="38">
        <v>2240101</v>
      </c>
      <c r="B610" s="385" t="s">
        <v>1075</v>
      </c>
      <c r="C610" s="386"/>
      <c r="D610" s="386"/>
      <c r="E610" s="35">
        <v>-3540565.58</v>
      </c>
      <c r="F610" s="35">
        <v>342870.18</v>
      </c>
      <c r="H610" s="35">
        <v>116345.17</v>
      </c>
      <c r="J610" s="35">
        <v>-3314040.57</v>
      </c>
    </row>
    <row r="611" spans="1:10" ht="15.95" hidden="1" customHeight="1" x14ac:dyDescent="0.2">
      <c r="A611" s="38" t="s">
        <v>1076</v>
      </c>
      <c r="B611" s="385" t="s">
        <v>634</v>
      </c>
      <c r="C611" s="386"/>
      <c r="D611" s="386"/>
      <c r="E611" s="35">
        <v>-3387630.04</v>
      </c>
      <c r="F611" s="35">
        <v>314907.84000000003</v>
      </c>
      <c r="H611" s="35">
        <v>114910.76</v>
      </c>
      <c r="J611" s="35">
        <v>-3187632.96</v>
      </c>
    </row>
    <row r="612" spans="1:10" ht="15.95" hidden="1" customHeight="1" x14ac:dyDescent="0.2">
      <c r="A612" s="38" t="s">
        <v>1077</v>
      </c>
      <c r="B612" s="385" t="s">
        <v>652</v>
      </c>
      <c r="C612" s="386"/>
      <c r="D612" s="386"/>
      <c r="E612" s="35">
        <v>-152935.54</v>
      </c>
      <c r="F612" s="35">
        <v>27962.34</v>
      </c>
      <c r="H612" s="35">
        <v>1434.41</v>
      </c>
      <c r="J612" s="35">
        <v>-126407.61</v>
      </c>
    </row>
    <row r="613" spans="1:10" ht="15.95" hidden="1" customHeight="1" x14ac:dyDescent="0.2">
      <c r="A613" s="38">
        <v>225</v>
      </c>
      <c r="B613" s="385" t="s">
        <v>1078</v>
      </c>
      <c r="C613" s="386"/>
      <c r="D613" s="386"/>
      <c r="E613" s="35">
        <v>-50155024.289999999</v>
      </c>
      <c r="F613" s="35">
        <v>0</v>
      </c>
      <c r="H613" s="35">
        <v>1541862.76</v>
      </c>
      <c r="J613" s="35">
        <v>-51696887.049999997</v>
      </c>
    </row>
    <row r="614" spans="1:10" ht="15.95" hidden="1" customHeight="1" x14ac:dyDescent="0.2">
      <c r="A614" s="38">
        <v>22501</v>
      </c>
      <c r="B614" s="385" t="s">
        <v>1079</v>
      </c>
      <c r="C614" s="386"/>
      <c r="D614" s="386"/>
      <c r="E614" s="35">
        <v>-50155024.289999999</v>
      </c>
      <c r="F614" s="35">
        <v>0</v>
      </c>
      <c r="H614" s="35">
        <v>1541862.76</v>
      </c>
      <c r="J614" s="35">
        <v>-51696887.049999997</v>
      </c>
    </row>
    <row r="615" spans="1:10" ht="15.95" hidden="1" customHeight="1" x14ac:dyDescent="0.2">
      <c r="A615" s="38">
        <v>2250101</v>
      </c>
      <c r="B615" s="385" t="s">
        <v>1079</v>
      </c>
      <c r="C615" s="386"/>
      <c r="D615" s="386"/>
      <c r="E615" s="35">
        <v>-50155024.289999999</v>
      </c>
      <c r="F615" s="35">
        <v>0</v>
      </c>
      <c r="H615" s="35">
        <v>1541862.76</v>
      </c>
      <c r="J615" s="35">
        <v>-51696887.049999997</v>
      </c>
    </row>
    <row r="616" spans="1:10" ht="15.95" hidden="1" customHeight="1" x14ac:dyDescent="0.2">
      <c r="A616" s="38" t="s">
        <v>1080</v>
      </c>
      <c r="B616" s="385" t="s">
        <v>1081</v>
      </c>
      <c r="C616" s="386"/>
      <c r="D616" s="386"/>
      <c r="E616" s="35">
        <v>-50153955.340000004</v>
      </c>
      <c r="F616" s="35">
        <v>0</v>
      </c>
      <c r="H616" s="35">
        <v>1541829.9</v>
      </c>
      <c r="J616" s="35">
        <v>-51695785.240000002</v>
      </c>
    </row>
    <row r="617" spans="1:10" ht="15.95" hidden="1" customHeight="1" x14ac:dyDescent="0.2">
      <c r="A617" s="38" t="s">
        <v>1082</v>
      </c>
      <c r="B617" s="385" t="s">
        <v>1083</v>
      </c>
      <c r="C617" s="386"/>
      <c r="D617" s="386"/>
      <c r="E617" s="35">
        <v>-1068.95</v>
      </c>
      <c r="F617" s="35">
        <v>0</v>
      </c>
      <c r="H617" s="35">
        <v>32.86</v>
      </c>
      <c r="J617" s="35">
        <v>-1101.81</v>
      </c>
    </row>
    <row r="618" spans="1:10" ht="15.95" hidden="1" customHeight="1" x14ac:dyDescent="0.2">
      <c r="A618" s="38">
        <v>23</v>
      </c>
      <c r="B618" s="385" t="s">
        <v>1091</v>
      </c>
      <c r="C618" s="386"/>
      <c r="D618" s="386"/>
      <c r="E618" s="35">
        <v>-265786956.05000001</v>
      </c>
      <c r="F618" s="35">
        <v>75865385.939999998</v>
      </c>
      <c r="H618" s="35">
        <v>59612964.270000003</v>
      </c>
      <c r="J618" s="35">
        <v>-249534534.38</v>
      </c>
    </row>
    <row r="619" spans="1:10" ht="15.95" hidden="1" customHeight="1" x14ac:dyDescent="0.2">
      <c r="A619" s="38">
        <v>231</v>
      </c>
      <c r="B619" s="385" t="s">
        <v>1092</v>
      </c>
      <c r="C619" s="386"/>
      <c r="D619" s="386"/>
      <c r="E619" s="35">
        <v>-332778173.26999998</v>
      </c>
      <c r="F619" s="35">
        <v>59498876</v>
      </c>
      <c r="H619" s="35">
        <v>39415.83</v>
      </c>
      <c r="J619" s="35">
        <v>-273318713.10000002</v>
      </c>
    </row>
    <row r="620" spans="1:10" ht="15.95" hidden="1" customHeight="1" x14ac:dyDescent="0.2">
      <c r="A620" s="38">
        <v>23101</v>
      </c>
      <c r="B620" s="385" t="s">
        <v>1092</v>
      </c>
      <c r="C620" s="386"/>
      <c r="D620" s="386"/>
      <c r="E620" s="35">
        <v>-332778173.26999998</v>
      </c>
      <c r="F620" s="35">
        <v>59498876</v>
      </c>
      <c r="H620" s="35">
        <v>39415.83</v>
      </c>
      <c r="J620" s="35">
        <v>-273318713.10000002</v>
      </c>
    </row>
    <row r="621" spans="1:10" ht="15.95" hidden="1" customHeight="1" x14ac:dyDescent="0.2">
      <c r="A621" s="38">
        <v>2310101</v>
      </c>
      <c r="B621" s="385" t="s">
        <v>1092</v>
      </c>
      <c r="C621" s="386"/>
      <c r="D621" s="386"/>
      <c r="E621" s="35">
        <v>-332778173.26999998</v>
      </c>
      <c r="F621" s="35">
        <v>59498876</v>
      </c>
      <c r="H621" s="35">
        <v>39415.83</v>
      </c>
      <c r="J621" s="35">
        <v>-273318713.10000002</v>
      </c>
    </row>
    <row r="622" spans="1:10" ht="15.95" hidden="1" customHeight="1" x14ac:dyDescent="0.2">
      <c r="A622" s="38" t="s">
        <v>1093</v>
      </c>
      <c r="B622" s="385" t="s">
        <v>1081</v>
      </c>
      <c r="C622" s="386"/>
      <c r="D622" s="386"/>
      <c r="E622" s="35">
        <v>-332557573.77999997</v>
      </c>
      <c r="F622" s="35">
        <v>59459460.170000002</v>
      </c>
      <c r="H622" s="35">
        <v>39415.83</v>
      </c>
      <c r="J622" s="35">
        <v>-273137529.44</v>
      </c>
    </row>
    <row r="623" spans="1:10" ht="15.95" hidden="1" customHeight="1" x14ac:dyDescent="0.2">
      <c r="A623" s="38" t="s">
        <v>1094</v>
      </c>
      <c r="B623" s="385" t="s">
        <v>1083</v>
      </c>
      <c r="C623" s="386"/>
      <c r="D623" s="386"/>
      <c r="E623" s="35">
        <v>-220599.49</v>
      </c>
      <c r="F623" s="35">
        <v>39415.83</v>
      </c>
      <c r="H623" s="35">
        <v>0</v>
      </c>
      <c r="J623" s="35">
        <v>-181183.66</v>
      </c>
    </row>
    <row r="624" spans="1:10" ht="15.95" hidden="1" customHeight="1" x14ac:dyDescent="0.2">
      <c r="A624" s="38">
        <v>234</v>
      </c>
      <c r="B624" s="385" t="s">
        <v>1095</v>
      </c>
      <c r="C624" s="386"/>
      <c r="D624" s="386"/>
      <c r="E624" s="35">
        <v>2783577.44</v>
      </c>
      <c r="F624" s="35">
        <v>0</v>
      </c>
      <c r="H624" s="35">
        <v>0</v>
      </c>
      <c r="J624" s="35">
        <v>2783577.44</v>
      </c>
    </row>
    <row r="625" spans="1:10" ht="15.95" hidden="1" customHeight="1" x14ac:dyDescent="0.2">
      <c r="A625" s="38">
        <v>23401</v>
      </c>
      <c r="B625" s="385" t="s">
        <v>1096</v>
      </c>
      <c r="C625" s="386"/>
      <c r="D625" s="386"/>
      <c r="E625" s="35">
        <v>2783577.44</v>
      </c>
      <c r="F625" s="35">
        <v>0</v>
      </c>
      <c r="H625" s="35">
        <v>0</v>
      </c>
      <c r="J625" s="35">
        <v>2783577.44</v>
      </c>
    </row>
    <row r="626" spans="1:10" ht="15.95" hidden="1" customHeight="1" x14ac:dyDescent="0.2">
      <c r="A626" s="38">
        <v>2340101</v>
      </c>
      <c r="B626" s="385" t="s">
        <v>1096</v>
      </c>
      <c r="C626" s="386"/>
      <c r="D626" s="386"/>
      <c r="E626" s="35">
        <v>2783577.44</v>
      </c>
      <c r="F626" s="35">
        <v>0</v>
      </c>
      <c r="H626" s="35">
        <v>0</v>
      </c>
      <c r="J626" s="35">
        <v>2783577.44</v>
      </c>
    </row>
    <row r="627" spans="1:10" ht="15.95" hidden="1" customHeight="1" x14ac:dyDescent="0.2">
      <c r="A627" s="38" t="s">
        <v>1545</v>
      </c>
      <c r="B627" s="385" t="s">
        <v>1095</v>
      </c>
      <c r="C627" s="386"/>
      <c r="D627" s="386"/>
      <c r="E627" s="35">
        <v>2783577.44</v>
      </c>
      <c r="F627" s="35">
        <v>0</v>
      </c>
      <c r="H627" s="35">
        <v>0</v>
      </c>
      <c r="J627" s="35">
        <v>2783577.44</v>
      </c>
    </row>
    <row r="628" spans="1:10" ht="15.95" hidden="1" customHeight="1" x14ac:dyDescent="0.2">
      <c r="A628" s="38">
        <v>237</v>
      </c>
      <c r="B628" s="385" t="s">
        <v>1099</v>
      </c>
      <c r="C628" s="386"/>
      <c r="D628" s="386"/>
      <c r="E628" s="35">
        <v>-1378805.44</v>
      </c>
      <c r="F628" s="35">
        <v>0</v>
      </c>
      <c r="H628" s="35">
        <v>42737.06</v>
      </c>
      <c r="J628" s="35">
        <v>-1421542.5</v>
      </c>
    </row>
    <row r="629" spans="1:10" ht="15.95" hidden="1" customHeight="1" x14ac:dyDescent="0.2">
      <c r="A629" s="38">
        <v>23701</v>
      </c>
      <c r="B629" s="385" t="s">
        <v>1100</v>
      </c>
      <c r="C629" s="386"/>
      <c r="D629" s="386"/>
      <c r="E629" s="35">
        <v>-1378805.44</v>
      </c>
      <c r="F629" s="35">
        <v>0</v>
      </c>
      <c r="H629" s="35">
        <v>42737.06</v>
      </c>
      <c r="J629" s="35">
        <v>-1421542.5</v>
      </c>
    </row>
    <row r="630" spans="1:10" ht="15.95" hidden="1" customHeight="1" x14ac:dyDescent="0.2">
      <c r="A630" s="38">
        <v>2370101</v>
      </c>
      <c r="B630" s="385" t="s">
        <v>1100</v>
      </c>
      <c r="C630" s="386"/>
      <c r="D630" s="386"/>
      <c r="E630" s="35">
        <v>-1378805.44</v>
      </c>
      <c r="F630" s="35">
        <v>0</v>
      </c>
      <c r="H630" s="35">
        <v>42737.06</v>
      </c>
      <c r="J630" s="35">
        <v>-1421542.5</v>
      </c>
    </row>
    <row r="631" spans="1:10" ht="15.95" hidden="1" customHeight="1" x14ac:dyDescent="0.2">
      <c r="A631" s="38" t="s">
        <v>1101</v>
      </c>
      <c r="B631" s="385" t="s">
        <v>1102</v>
      </c>
      <c r="C631" s="386"/>
      <c r="D631" s="386"/>
      <c r="E631" s="35">
        <v>-1378805.44</v>
      </c>
      <c r="F631" s="35">
        <v>0</v>
      </c>
      <c r="H631" s="35">
        <v>42737.06</v>
      </c>
      <c r="J631" s="35">
        <v>-1421542.5</v>
      </c>
    </row>
    <row r="632" spans="1:10" ht="15.95" hidden="1" customHeight="1" x14ac:dyDescent="0.2">
      <c r="A632" s="38">
        <v>238</v>
      </c>
      <c r="B632" s="385" t="s">
        <v>1103</v>
      </c>
      <c r="C632" s="386"/>
      <c r="D632" s="386"/>
      <c r="E632" s="35">
        <v>-8546606.6600000001</v>
      </c>
      <c r="F632" s="35">
        <v>0</v>
      </c>
      <c r="H632" s="35">
        <v>0</v>
      </c>
      <c r="J632" s="35">
        <v>-8546606.6600000001</v>
      </c>
    </row>
    <row r="633" spans="1:10" ht="15.95" hidden="1" customHeight="1" x14ac:dyDescent="0.2">
      <c r="A633" s="38">
        <v>23801</v>
      </c>
      <c r="B633" s="385" t="s">
        <v>1103</v>
      </c>
      <c r="C633" s="386"/>
      <c r="D633" s="386"/>
      <c r="E633" s="35">
        <v>-8546606.6600000001</v>
      </c>
      <c r="F633" s="35">
        <v>0</v>
      </c>
      <c r="H633" s="35">
        <v>0</v>
      </c>
      <c r="J633" s="35">
        <v>-8546606.6600000001</v>
      </c>
    </row>
    <row r="634" spans="1:10" ht="15.95" hidden="1" customHeight="1" x14ac:dyDescent="0.2">
      <c r="A634" s="38">
        <v>2380101</v>
      </c>
      <c r="B634" s="385" t="s">
        <v>1103</v>
      </c>
      <c r="C634" s="386"/>
      <c r="D634" s="386"/>
      <c r="E634" s="35">
        <v>-8546606.6600000001</v>
      </c>
      <c r="F634" s="35">
        <v>0</v>
      </c>
      <c r="H634" s="35">
        <v>0</v>
      </c>
      <c r="J634" s="35">
        <v>-8546606.6600000001</v>
      </c>
    </row>
    <row r="635" spans="1:10" ht="15.95" hidden="1" customHeight="1" x14ac:dyDescent="0.2">
      <c r="A635" s="38" t="s">
        <v>1104</v>
      </c>
      <c r="B635" s="385" t="s">
        <v>1081</v>
      </c>
      <c r="C635" s="386"/>
      <c r="D635" s="386"/>
      <c r="E635" s="35">
        <v>-8546606.6600000001</v>
      </c>
      <c r="F635" s="35">
        <v>0</v>
      </c>
      <c r="H635" s="35">
        <v>0</v>
      </c>
      <c r="J635" s="35">
        <v>-8546606.6600000001</v>
      </c>
    </row>
    <row r="636" spans="1:10" ht="15.95" hidden="1" customHeight="1" x14ac:dyDescent="0.2">
      <c r="A636" s="38">
        <v>239</v>
      </c>
      <c r="B636" s="385" t="s">
        <v>1105</v>
      </c>
      <c r="C636" s="386"/>
      <c r="D636" s="386"/>
      <c r="E636" s="35">
        <v>74133051.879999995</v>
      </c>
      <c r="F636" s="35">
        <v>16366509.939999999</v>
      </c>
      <c r="H636" s="35">
        <v>59530811.380000003</v>
      </c>
      <c r="J636" s="35">
        <v>30968750.440000001</v>
      </c>
    </row>
    <row r="637" spans="1:10" ht="15.95" hidden="1" customHeight="1" x14ac:dyDescent="0.2">
      <c r="A637" s="38">
        <v>23901</v>
      </c>
      <c r="B637" s="385" t="s">
        <v>1105</v>
      </c>
      <c r="C637" s="386"/>
      <c r="D637" s="386"/>
      <c r="E637" s="35">
        <v>74133051.879999995</v>
      </c>
      <c r="F637" s="35">
        <v>16366509.939999999</v>
      </c>
      <c r="H637" s="35">
        <v>59530811.380000003</v>
      </c>
      <c r="J637" s="35">
        <v>30968750.440000001</v>
      </c>
    </row>
    <row r="638" spans="1:10" ht="15.95" hidden="1" customHeight="1" x14ac:dyDescent="0.2">
      <c r="A638" s="38">
        <v>2390101</v>
      </c>
      <c r="B638" s="385" t="s">
        <v>1106</v>
      </c>
      <c r="C638" s="386"/>
      <c r="D638" s="386"/>
      <c r="E638" s="35">
        <v>-71351.210000000006</v>
      </c>
      <c r="F638" s="35">
        <v>16366509.939999999</v>
      </c>
      <c r="H638" s="35">
        <v>0</v>
      </c>
      <c r="J638" s="35">
        <v>16295158.73</v>
      </c>
    </row>
    <row r="639" spans="1:10" ht="15.95" hidden="1" customHeight="1" x14ac:dyDescent="0.2">
      <c r="A639" s="38" t="s">
        <v>1107</v>
      </c>
      <c r="B639" s="385" t="s">
        <v>1108</v>
      </c>
      <c r="C639" s="386"/>
      <c r="D639" s="386"/>
      <c r="E639" s="35">
        <v>-71351.210000000006</v>
      </c>
      <c r="F639" s="35">
        <v>71351.210000000006</v>
      </c>
      <c r="H639" s="35">
        <v>0</v>
      </c>
      <c r="J639" s="35">
        <v>0</v>
      </c>
    </row>
    <row r="640" spans="1:10" ht="15.95" hidden="1" customHeight="1" x14ac:dyDescent="0.2">
      <c r="A640" s="38" t="s">
        <v>1109</v>
      </c>
      <c r="B640" s="385" t="s">
        <v>1110</v>
      </c>
      <c r="C640" s="386"/>
      <c r="D640" s="386"/>
      <c r="E640" s="35">
        <v>0</v>
      </c>
      <c r="F640" s="35">
        <v>16295158.73</v>
      </c>
      <c r="H640" s="35">
        <v>0</v>
      </c>
      <c r="J640" s="35">
        <v>16295158.73</v>
      </c>
    </row>
    <row r="641" spans="1:11" ht="15.95" hidden="1" customHeight="1" x14ac:dyDescent="0.2">
      <c r="A641" s="38">
        <v>2390102</v>
      </c>
      <c r="B641" s="385" t="s">
        <v>1111</v>
      </c>
      <c r="C641" s="386"/>
      <c r="D641" s="386"/>
      <c r="E641" s="35">
        <v>74204403.090000004</v>
      </c>
      <c r="F641" s="35">
        <v>0</v>
      </c>
      <c r="H641" s="35">
        <v>59530811.380000003</v>
      </c>
      <c r="J641" s="35">
        <v>14673591.710000001</v>
      </c>
    </row>
    <row r="642" spans="1:11" ht="15.95" hidden="1" customHeight="1" x14ac:dyDescent="0.2">
      <c r="A642" s="38" t="s">
        <v>1617</v>
      </c>
      <c r="B642" s="385" t="s">
        <v>1618</v>
      </c>
      <c r="C642" s="386"/>
      <c r="D642" s="386"/>
      <c r="E642" s="35">
        <v>18872365.699999999</v>
      </c>
      <c r="F642" s="35">
        <v>0</v>
      </c>
      <c r="H642" s="35">
        <v>18872365.699999999</v>
      </c>
      <c r="J642" s="35">
        <v>0</v>
      </c>
    </row>
    <row r="643" spans="1:11" ht="15.95" hidden="1" customHeight="1" x14ac:dyDescent="0.2">
      <c r="A643" s="38" t="s">
        <v>1619</v>
      </c>
      <c r="B643" s="385" t="s">
        <v>1620</v>
      </c>
      <c r="C643" s="386"/>
      <c r="D643" s="386"/>
      <c r="E643" s="35">
        <v>22694376.539999999</v>
      </c>
      <c r="F643" s="35">
        <v>0</v>
      </c>
      <c r="H643" s="35">
        <v>22694376.539999999</v>
      </c>
      <c r="J643" s="35">
        <v>0</v>
      </c>
    </row>
    <row r="644" spans="1:11" ht="15.95" hidden="1" customHeight="1" x14ac:dyDescent="0.2">
      <c r="A644" s="38" t="s">
        <v>1621</v>
      </c>
      <c r="B644" s="385" t="s">
        <v>1622</v>
      </c>
      <c r="C644" s="386"/>
      <c r="D644" s="386"/>
      <c r="E644" s="35">
        <v>17892717.93</v>
      </c>
      <c r="F644" s="35">
        <v>0</v>
      </c>
      <c r="H644" s="35">
        <v>17892717.93</v>
      </c>
      <c r="J644" s="35">
        <v>0</v>
      </c>
    </row>
    <row r="645" spans="1:11" ht="15.95" hidden="1" customHeight="1" x14ac:dyDescent="0.2">
      <c r="A645" s="38" t="s">
        <v>1112</v>
      </c>
      <c r="B645" s="385" t="s">
        <v>1113</v>
      </c>
      <c r="C645" s="386"/>
      <c r="D645" s="386"/>
      <c r="E645" s="35">
        <v>14744942.92</v>
      </c>
      <c r="F645" s="35">
        <v>0</v>
      </c>
      <c r="H645" s="35">
        <v>71351.210000000006</v>
      </c>
      <c r="J645" s="35">
        <v>14673591.710000001</v>
      </c>
    </row>
    <row r="646" spans="1:11" ht="15.95" hidden="1" customHeight="1" x14ac:dyDescent="0.2">
      <c r="A646" s="38">
        <v>24</v>
      </c>
      <c r="B646" s="385" t="s">
        <v>1119</v>
      </c>
      <c r="C646" s="386"/>
      <c r="D646" s="386"/>
      <c r="E646" s="35">
        <v>-1236717.49</v>
      </c>
      <c r="F646" s="35">
        <v>0</v>
      </c>
      <c r="H646" s="35">
        <v>0</v>
      </c>
      <c r="J646" s="35">
        <v>-1236717.49</v>
      </c>
    </row>
    <row r="647" spans="1:11" ht="15.95" hidden="1" customHeight="1" x14ac:dyDescent="0.2">
      <c r="A647" s="38">
        <v>241</v>
      </c>
      <c r="B647" s="385" t="s">
        <v>456</v>
      </c>
      <c r="C647" s="386"/>
      <c r="D647" s="386"/>
      <c r="E647" s="35">
        <v>-1236717.49</v>
      </c>
      <c r="F647" s="35">
        <v>0</v>
      </c>
      <c r="H647" s="35">
        <v>0</v>
      </c>
      <c r="J647" s="35">
        <v>-1236717.49</v>
      </c>
    </row>
    <row r="648" spans="1:11" ht="15.95" hidden="1" customHeight="1" x14ac:dyDescent="0.2">
      <c r="A648" s="38">
        <v>24101</v>
      </c>
      <c r="B648" s="385" t="s">
        <v>1120</v>
      </c>
      <c r="C648" s="386"/>
      <c r="D648" s="386"/>
      <c r="E648" s="35">
        <v>-1236717.49</v>
      </c>
      <c r="F648" s="35">
        <v>0</v>
      </c>
      <c r="H648" s="35">
        <v>0</v>
      </c>
      <c r="J648" s="35">
        <v>-1236717.49</v>
      </c>
    </row>
    <row r="649" spans="1:11" ht="15.95" hidden="1" customHeight="1" x14ac:dyDescent="0.2">
      <c r="A649" s="38">
        <v>2410101</v>
      </c>
      <c r="B649" s="385" t="s">
        <v>457</v>
      </c>
      <c r="C649" s="386"/>
      <c r="D649" s="386"/>
      <c r="E649" s="35">
        <v>-1236717.49</v>
      </c>
      <c r="F649" s="35">
        <v>0</v>
      </c>
      <c r="H649" s="35">
        <v>0</v>
      </c>
      <c r="J649" s="35">
        <v>-1236717.49</v>
      </c>
    </row>
    <row r="650" spans="1:11" ht="27.95" hidden="1" customHeight="1" x14ac:dyDescent="0.2">
      <c r="A650" s="38" t="s">
        <v>1121</v>
      </c>
      <c r="B650" s="385" t="s">
        <v>459</v>
      </c>
      <c r="C650" s="386"/>
      <c r="D650" s="386"/>
      <c r="E650" s="35">
        <v>-1236717.49</v>
      </c>
      <c r="F650" s="35">
        <v>0</v>
      </c>
      <c r="H650" s="35">
        <v>0</v>
      </c>
      <c r="J650" s="35">
        <v>-1236717.49</v>
      </c>
    </row>
    <row r="651" spans="1:11" ht="15.95" customHeight="1" x14ac:dyDescent="0.2">
      <c r="A651" s="38">
        <v>3</v>
      </c>
      <c r="B651" s="385" t="s">
        <v>1122</v>
      </c>
      <c r="C651" s="386"/>
      <c r="D651" s="386"/>
      <c r="E651" s="35">
        <v>0</v>
      </c>
      <c r="F651" s="35">
        <v>5191117.3499999996</v>
      </c>
      <c r="H651" s="35">
        <v>31050814.399999999</v>
      </c>
      <c r="J651" s="35">
        <v>-25859697.050000001</v>
      </c>
      <c r="K651" s="39">
        <f>J651</f>
        <v>-25859697.050000001</v>
      </c>
    </row>
    <row r="652" spans="1:11" ht="15.95" customHeight="1" x14ac:dyDescent="0.2">
      <c r="A652" s="38">
        <v>31</v>
      </c>
      <c r="B652" s="385" t="s">
        <v>1123</v>
      </c>
      <c r="C652" s="386"/>
      <c r="D652" s="386"/>
      <c r="E652" s="35">
        <v>0</v>
      </c>
      <c r="F652" s="35">
        <v>0</v>
      </c>
      <c r="H652" s="35">
        <v>31050795.129999999</v>
      </c>
      <c r="J652" s="35">
        <v>-31050795.129999999</v>
      </c>
      <c r="K652" s="39">
        <f>J661+J678</f>
        <v>-3821327.53</v>
      </c>
    </row>
    <row r="653" spans="1:11" ht="15.95" customHeight="1" x14ac:dyDescent="0.2">
      <c r="A653" s="38">
        <v>311</v>
      </c>
      <c r="B653" s="385" t="s">
        <v>1124</v>
      </c>
      <c r="C653" s="386"/>
      <c r="D653" s="386"/>
      <c r="E653" s="35">
        <v>0</v>
      </c>
      <c r="F653" s="35">
        <v>0</v>
      </c>
      <c r="H653" s="35">
        <v>31050795.129999999</v>
      </c>
      <c r="J653" s="35">
        <v>-31050795.129999999</v>
      </c>
      <c r="K653" s="39">
        <f>K651-K652</f>
        <v>-22038369.52</v>
      </c>
    </row>
    <row r="654" spans="1:11" ht="15.95" customHeight="1" x14ac:dyDescent="0.2">
      <c r="A654" s="38">
        <v>31101</v>
      </c>
      <c r="B654" s="385" t="s">
        <v>1125</v>
      </c>
      <c r="C654" s="386"/>
      <c r="D654" s="386"/>
      <c r="E654" s="35">
        <v>0</v>
      </c>
      <c r="F654" s="35">
        <v>0</v>
      </c>
      <c r="H654" s="35">
        <v>27193776.600000001</v>
      </c>
      <c r="J654" s="35">
        <v>-27193776.600000001</v>
      </c>
    </row>
    <row r="655" spans="1:11" ht="15.95" customHeight="1" x14ac:dyDescent="0.2">
      <c r="A655" s="38">
        <v>3110101</v>
      </c>
      <c r="B655" s="385" t="s">
        <v>1126</v>
      </c>
      <c r="C655" s="386"/>
      <c r="D655" s="386"/>
      <c r="E655" s="35">
        <v>0</v>
      </c>
      <c r="F655" s="35">
        <v>0</v>
      </c>
      <c r="H655" s="35">
        <v>27193776.600000001</v>
      </c>
      <c r="J655" s="35">
        <v>-27193776.600000001</v>
      </c>
    </row>
    <row r="656" spans="1:11" ht="15.95" customHeight="1" x14ac:dyDescent="0.2">
      <c r="A656" s="38" t="s">
        <v>1127</v>
      </c>
      <c r="B656" s="385" t="s">
        <v>1128</v>
      </c>
      <c r="C656" s="386"/>
      <c r="D656" s="386"/>
      <c r="E656" s="35">
        <v>0</v>
      </c>
      <c r="F656" s="35">
        <v>0</v>
      </c>
      <c r="H656" s="35">
        <v>8330327.3300000001</v>
      </c>
      <c r="J656" s="35">
        <v>-8330327.3300000001</v>
      </c>
    </row>
    <row r="657" spans="1:11" ht="15.95" customHeight="1" x14ac:dyDescent="0.2">
      <c r="A657" s="38" t="s">
        <v>1129</v>
      </c>
      <c r="B657" s="385" t="s">
        <v>1130</v>
      </c>
      <c r="C657" s="386"/>
      <c r="D657" s="386"/>
      <c r="E657" s="35">
        <v>0</v>
      </c>
      <c r="F657" s="35">
        <v>0</v>
      </c>
      <c r="H657" s="35">
        <v>1426950.82</v>
      </c>
      <c r="J657" s="35">
        <v>-1426950.82</v>
      </c>
    </row>
    <row r="658" spans="1:11" ht="15.95" customHeight="1" x14ac:dyDescent="0.2">
      <c r="A658" s="38" t="s">
        <v>1131</v>
      </c>
      <c r="B658" s="385" t="s">
        <v>1132</v>
      </c>
      <c r="C658" s="386"/>
      <c r="D658" s="386"/>
      <c r="E658" s="35">
        <v>0</v>
      </c>
      <c r="F658" s="35">
        <v>0</v>
      </c>
      <c r="H658" s="35">
        <v>11426729.289999999</v>
      </c>
      <c r="J658" s="35">
        <v>-11426729.289999999</v>
      </c>
    </row>
    <row r="659" spans="1:11" ht="15.95" customHeight="1" x14ac:dyDescent="0.2">
      <c r="A659" s="38" t="s">
        <v>1133</v>
      </c>
      <c r="B659" s="385" t="s">
        <v>1134</v>
      </c>
      <c r="C659" s="386"/>
      <c r="D659" s="386"/>
      <c r="E659" s="35">
        <v>0</v>
      </c>
      <c r="F659" s="35">
        <v>0</v>
      </c>
      <c r="H659" s="35">
        <v>858835.55</v>
      </c>
      <c r="J659" s="35">
        <v>-858835.55</v>
      </c>
    </row>
    <row r="660" spans="1:11" ht="15.95" customHeight="1" x14ac:dyDescent="0.2">
      <c r="A660" s="38" t="s">
        <v>1135</v>
      </c>
      <c r="B660" s="385" t="s">
        <v>1136</v>
      </c>
      <c r="C660" s="386"/>
      <c r="D660" s="386"/>
      <c r="E660" s="35">
        <v>0</v>
      </c>
      <c r="F660" s="35">
        <v>0</v>
      </c>
      <c r="H660" s="35">
        <v>5150933.6100000003</v>
      </c>
      <c r="J660" s="35">
        <v>-5150933.6100000003</v>
      </c>
      <c r="K660" s="39">
        <f>J651-K663</f>
        <v>-22163582.02</v>
      </c>
    </row>
    <row r="661" spans="1:11" ht="15.95" customHeight="1" x14ac:dyDescent="0.2">
      <c r="A661" s="38">
        <v>31103</v>
      </c>
      <c r="B661" s="385" t="s">
        <v>1137</v>
      </c>
      <c r="C661" s="386"/>
      <c r="D661" s="386"/>
      <c r="E661" s="35">
        <v>0</v>
      </c>
      <c r="F661" s="35">
        <v>0</v>
      </c>
      <c r="H661" s="35">
        <v>3857018.53</v>
      </c>
      <c r="J661" s="35">
        <v>-3857018.53</v>
      </c>
    </row>
    <row r="662" spans="1:11" ht="15.95" customHeight="1" x14ac:dyDescent="0.2">
      <c r="A662" s="38">
        <v>3110301</v>
      </c>
      <c r="B662" s="385" t="s">
        <v>1138</v>
      </c>
      <c r="C662" s="386"/>
      <c r="D662" s="386"/>
      <c r="E662" s="35">
        <v>0</v>
      </c>
      <c r="F662" s="35">
        <v>0</v>
      </c>
      <c r="H662" s="35">
        <v>3857018.53</v>
      </c>
      <c r="J662" s="35">
        <v>-3857018.53</v>
      </c>
    </row>
    <row r="663" spans="1:11" ht="15.95" customHeight="1" x14ac:dyDescent="0.2">
      <c r="A663" s="38" t="s">
        <v>1139</v>
      </c>
      <c r="B663" s="385" t="s">
        <v>1140</v>
      </c>
      <c r="C663" s="386"/>
      <c r="D663" s="386"/>
      <c r="E663" s="35">
        <v>0</v>
      </c>
      <c r="F663" s="35">
        <v>0</v>
      </c>
      <c r="H663" s="35">
        <v>3731806.03</v>
      </c>
      <c r="J663" s="35">
        <v>-3731806.03</v>
      </c>
      <c r="K663" s="39">
        <f>J663+F678</f>
        <v>-3696115.03</v>
      </c>
    </row>
    <row r="664" spans="1:11" ht="15.95" customHeight="1" x14ac:dyDescent="0.2">
      <c r="A664" s="38" t="s">
        <v>1546</v>
      </c>
      <c r="B664" s="385" t="s">
        <v>1547</v>
      </c>
      <c r="C664" s="386"/>
      <c r="D664" s="386"/>
      <c r="E664" s="35">
        <v>0</v>
      </c>
      <c r="F664" s="35">
        <v>0</v>
      </c>
      <c r="H664" s="35">
        <v>125212.5</v>
      </c>
      <c r="J664" s="35">
        <v>-125212.5</v>
      </c>
    </row>
    <row r="665" spans="1:11" ht="15.95" customHeight="1" x14ac:dyDescent="0.2">
      <c r="A665" s="38">
        <v>32</v>
      </c>
      <c r="B665" s="385" t="s">
        <v>1141</v>
      </c>
      <c r="C665" s="386"/>
      <c r="D665" s="386"/>
      <c r="E665" s="35">
        <v>0</v>
      </c>
      <c r="F665" s="35">
        <v>5191117.3499999996</v>
      </c>
      <c r="H665" s="35">
        <v>19.27</v>
      </c>
      <c r="J665" s="35">
        <v>5191098.08</v>
      </c>
    </row>
    <row r="666" spans="1:11" ht="15.95" customHeight="1" x14ac:dyDescent="0.2">
      <c r="A666" s="38">
        <v>321</v>
      </c>
      <c r="B666" s="385" t="s">
        <v>1124</v>
      </c>
      <c r="C666" s="386"/>
      <c r="D666" s="386"/>
      <c r="E666" s="35">
        <v>0</v>
      </c>
      <c r="F666" s="35">
        <v>5191117.3499999996</v>
      </c>
      <c r="H666" s="35">
        <v>19.27</v>
      </c>
      <c r="J666" s="35">
        <v>5191098.08</v>
      </c>
      <c r="K666" s="39">
        <f>-J651+H661-F678</f>
        <v>29681024.580000002</v>
      </c>
    </row>
    <row r="667" spans="1:11" ht="15.95" customHeight="1" x14ac:dyDescent="0.2">
      <c r="A667" s="38">
        <v>32101</v>
      </c>
      <c r="B667" s="385" t="s">
        <v>1142</v>
      </c>
      <c r="C667" s="386"/>
      <c r="D667" s="386"/>
      <c r="E667" s="35">
        <v>0</v>
      </c>
      <c r="F667" s="35">
        <v>5191117.3499999996</v>
      </c>
      <c r="H667" s="35">
        <v>19.27</v>
      </c>
      <c r="J667" s="35">
        <v>5191098.08</v>
      </c>
    </row>
    <row r="668" spans="1:11" ht="15.95" customHeight="1" x14ac:dyDescent="0.2">
      <c r="A668" s="38">
        <v>3210101</v>
      </c>
      <c r="B668" s="385" t="s">
        <v>1143</v>
      </c>
      <c r="C668" s="386"/>
      <c r="D668" s="386"/>
      <c r="E668" s="35">
        <v>0</v>
      </c>
      <c r="F668" s="35">
        <v>3921795.55</v>
      </c>
      <c r="H668" s="35">
        <v>0</v>
      </c>
      <c r="J668" s="35">
        <v>3921795.55</v>
      </c>
    </row>
    <row r="669" spans="1:11" ht="15.95" customHeight="1" x14ac:dyDescent="0.2">
      <c r="A669" s="38" t="s">
        <v>1144</v>
      </c>
      <c r="B669" s="385" t="s">
        <v>1145</v>
      </c>
      <c r="C669" s="386"/>
      <c r="D669" s="386"/>
      <c r="E669" s="35">
        <v>0</v>
      </c>
      <c r="F669" s="35">
        <v>462401.46</v>
      </c>
      <c r="H669" s="35">
        <v>0</v>
      </c>
      <c r="J669" s="35">
        <v>462401.46</v>
      </c>
    </row>
    <row r="670" spans="1:11" ht="15.95" customHeight="1" x14ac:dyDescent="0.2">
      <c r="A670" s="38" t="s">
        <v>1146</v>
      </c>
      <c r="B670" s="385" t="s">
        <v>1147</v>
      </c>
      <c r="C670" s="386"/>
      <c r="D670" s="386"/>
      <c r="E670" s="35">
        <v>0</v>
      </c>
      <c r="F670" s="35">
        <v>2132354.7000000002</v>
      </c>
      <c r="H670" s="35">
        <v>0</v>
      </c>
      <c r="J670" s="35">
        <v>2132354.7000000002</v>
      </c>
    </row>
    <row r="671" spans="1:11" ht="15.95" customHeight="1" x14ac:dyDescent="0.2">
      <c r="A671" s="38" t="s">
        <v>1148</v>
      </c>
      <c r="B671" s="385" t="s">
        <v>1149</v>
      </c>
      <c r="C671" s="386"/>
      <c r="D671" s="386"/>
      <c r="E671" s="35">
        <v>0</v>
      </c>
      <c r="F671" s="35">
        <v>1327039.3899999999</v>
      </c>
      <c r="H671" s="35">
        <v>0</v>
      </c>
      <c r="J671" s="35">
        <v>1327039.3899999999</v>
      </c>
      <c r="K671" s="39">
        <f>J651</f>
        <v>-25859697.050000001</v>
      </c>
    </row>
    <row r="672" spans="1:11" ht="15.95" customHeight="1" x14ac:dyDescent="0.2">
      <c r="A672" s="38">
        <v>3210102</v>
      </c>
      <c r="B672" s="385" t="s">
        <v>1150</v>
      </c>
      <c r="C672" s="386"/>
      <c r="D672" s="386"/>
      <c r="E672" s="35">
        <v>0</v>
      </c>
      <c r="F672" s="35">
        <v>1269321.8</v>
      </c>
      <c r="H672" s="35">
        <v>19.27</v>
      </c>
      <c r="J672" s="35">
        <v>1269302.53</v>
      </c>
      <c r="K672" s="39">
        <f>J663+J678</f>
        <v>-3696115.03</v>
      </c>
    </row>
    <row r="673" spans="1:11" ht="15.95" customHeight="1" x14ac:dyDescent="0.2">
      <c r="A673" s="38" t="s">
        <v>1151</v>
      </c>
      <c r="B673" s="385" t="s">
        <v>1152</v>
      </c>
      <c r="C673" s="386"/>
      <c r="D673" s="386"/>
      <c r="E673" s="35">
        <v>0</v>
      </c>
      <c r="F673" s="35">
        <v>440552.27</v>
      </c>
      <c r="H673" s="35">
        <v>0</v>
      </c>
      <c r="J673" s="35">
        <v>440552.27</v>
      </c>
      <c r="K673" s="39">
        <f>K671-K672</f>
        <v>-22163582.02</v>
      </c>
    </row>
    <row r="674" spans="1:11" ht="15.95" customHeight="1" x14ac:dyDescent="0.2">
      <c r="A674" s="38" t="s">
        <v>1153</v>
      </c>
      <c r="B674" s="385" t="s">
        <v>1154</v>
      </c>
      <c r="C674" s="386"/>
      <c r="D674" s="386"/>
      <c r="E674" s="35">
        <v>0</v>
      </c>
      <c r="F674" s="35">
        <v>45010.68</v>
      </c>
      <c r="H674" s="35">
        <v>0</v>
      </c>
      <c r="J674" s="35">
        <v>45010.68</v>
      </c>
    </row>
    <row r="675" spans="1:11" ht="15.95" customHeight="1" x14ac:dyDescent="0.2">
      <c r="A675" s="38" t="s">
        <v>1155</v>
      </c>
      <c r="B675" s="385" t="s">
        <v>1156</v>
      </c>
      <c r="C675" s="386"/>
      <c r="D675" s="386"/>
      <c r="E675" s="35">
        <v>0</v>
      </c>
      <c r="F675" s="35">
        <v>425856.78</v>
      </c>
      <c r="H675" s="35">
        <v>0</v>
      </c>
      <c r="J675" s="35">
        <v>425856.78</v>
      </c>
    </row>
    <row r="676" spans="1:11" ht="15.95" customHeight="1" x14ac:dyDescent="0.2">
      <c r="A676" s="38" t="s">
        <v>1157</v>
      </c>
      <c r="B676" s="385" t="s">
        <v>1134</v>
      </c>
      <c r="C676" s="386"/>
      <c r="D676" s="386"/>
      <c r="E676" s="35">
        <v>0</v>
      </c>
      <c r="F676" s="35">
        <v>67275.179999999993</v>
      </c>
      <c r="H676" s="35">
        <v>19.27</v>
      </c>
      <c r="J676" s="35">
        <v>67255.91</v>
      </c>
    </row>
    <row r="677" spans="1:11" ht="15.95" customHeight="1" x14ac:dyDescent="0.2">
      <c r="A677" s="38" t="s">
        <v>1158</v>
      </c>
      <c r="B677" s="385" t="s">
        <v>1136</v>
      </c>
      <c r="C677" s="386"/>
      <c r="D677" s="386"/>
      <c r="E677" s="35">
        <v>0</v>
      </c>
      <c r="F677" s="35">
        <v>254935.89</v>
      </c>
      <c r="H677" s="35">
        <v>0</v>
      </c>
      <c r="J677" s="35">
        <v>254935.89</v>
      </c>
    </row>
    <row r="678" spans="1:11" ht="15.95" customHeight="1" x14ac:dyDescent="0.2">
      <c r="A678" s="38" t="s">
        <v>1623</v>
      </c>
      <c r="B678" s="385" t="s">
        <v>1547</v>
      </c>
      <c r="C678" s="386"/>
      <c r="D678" s="386"/>
      <c r="E678" s="35">
        <v>0</v>
      </c>
      <c r="F678" s="35">
        <v>35691</v>
      </c>
      <c r="H678" s="35">
        <v>0</v>
      </c>
      <c r="J678" s="35">
        <v>35691</v>
      </c>
    </row>
    <row r="679" spans="1:11" ht="15.95" customHeight="1" x14ac:dyDescent="0.2">
      <c r="A679" s="38">
        <v>4</v>
      </c>
      <c r="B679" s="385" t="s">
        <v>1160</v>
      </c>
      <c r="C679" s="386"/>
      <c r="D679" s="386"/>
      <c r="E679" s="35">
        <v>0</v>
      </c>
      <c r="F679" s="35">
        <v>22987294.079999998</v>
      </c>
      <c r="H679" s="35">
        <v>1878562.15</v>
      </c>
      <c r="J679" s="35">
        <v>21108731.93</v>
      </c>
    </row>
    <row r="680" spans="1:11" ht="15.95" customHeight="1" x14ac:dyDescent="0.2">
      <c r="A680" s="38">
        <v>41</v>
      </c>
      <c r="B680" s="385" t="s">
        <v>1161</v>
      </c>
      <c r="C680" s="386"/>
      <c r="D680" s="386"/>
      <c r="E680" s="35">
        <v>0</v>
      </c>
      <c r="F680" s="35">
        <v>22987294.079999998</v>
      </c>
      <c r="H680" s="35">
        <v>1878562.15</v>
      </c>
      <c r="J680" s="35">
        <v>21108731.93</v>
      </c>
    </row>
    <row r="681" spans="1:11" ht="15.95" customHeight="1" x14ac:dyDescent="0.2">
      <c r="A681" s="38">
        <v>411</v>
      </c>
      <c r="B681" s="385" t="s">
        <v>1161</v>
      </c>
      <c r="C681" s="386"/>
      <c r="D681" s="386"/>
      <c r="E681" s="35">
        <v>0</v>
      </c>
      <c r="F681" s="35">
        <v>22987294.079999998</v>
      </c>
      <c r="H681" s="35">
        <v>1878562.15</v>
      </c>
      <c r="J681" s="35">
        <v>21108731.93</v>
      </c>
    </row>
    <row r="682" spans="1:11" ht="15.95" customHeight="1" x14ac:dyDescent="0.2">
      <c r="A682" s="38">
        <v>41101</v>
      </c>
      <c r="B682" s="385" t="s">
        <v>1161</v>
      </c>
      <c r="C682" s="386"/>
      <c r="D682" s="386"/>
      <c r="E682" s="35">
        <v>0</v>
      </c>
      <c r="F682" s="35">
        <v>22987294.079999998</v>
      </c>
      <c r="H682" s="35">
        <v>1878562.15</v>
      </c>
      <c r="J682" s="35">
        <v>21108731.93</v>
      </c>
    </row>
    <row r="683" spans="1:11" ht="15.95" customHeight="1" x14ac:dyDescent="0.2">
      <c r="A683" s="38">
        <v>4110101</v>
      </c>
      <c r="B683" s="385" t="s">
        <v>1162</v>
      </c>
      <c r="C683" s="386"/>
      <c r="D683" s="386"/>
      <c r="E683" s="35">
        <v>0</v>
      </c>
      <c r="F683" s="35">
        <v>6832021.8799999999</v>
      </c>
      <c r="H683" s="35">
        <v>638906.67000000004</v>
      </c>
      <c r="J683" s="35">
        <v>6193115.21</v>
      </c>
    </row>
    <row r="684" spans="1:11" ht="15.95" customHeight="1" x14ac:dyDescent="0.2">
      <c r="A684" s="38" t="s">
        <v>1163</v>
      </c>
      <c r="B684" s="385" t="s">
        <v>1164</v>
      </c>
      <c r="C684" s="386"/>
      <c r="D684" s="386"/>
      <c r="E684" s="35">
        <v>0</v>
      </c>
      <c r="F684" s="35">
        <v>1613906.28</v>
      </c>
      <c r="H684" s="35">
        <v>51553.89</v>
      </c>
      <c r="J684" s="35">
        <v>1562352.39</v>
      </c>
    </row>
    <row r="685" spans="1:11" ht="15.95" customHeight="1" x14ac:dyDescent="0.2">
      <c r="A685" s="38" t="s">
        <v>1165</v>
      </c>
      <c r="B685" s="385" t="s">
        <v>1166</v>
      </c>
      <c r="C685" s="386"/>
      <c r="D685" s="386"/>
      <c r="E685" s="35">
        <v>0</v>
      </c>
      <c r="F685" s="35">
        <v>716199.97</v>
      </c>
      <c r="H685" s="35">
        <v>342.5</v>
      </c>
      <c r="J685" s="35">
        <v>715857.47</v>
      </c>
    </row>
    <row r="686" spans="1:11" ht="15.95" customHeight="1" x14ac:dyDescent="0.2">
      <c r="A686" s="38" t="s">
        <v>1167</v>
      </c>
      <c r="B686" s="385" t="s">
        <v>1168</v>
      </c>
      <c r="C686" s="386"/>
      <c r="D686" s="386"/>
      <c r="E686" s="35">
        <v>0</v>
      </c>
      <c r="F686" s="35">
        <v>304576.62</v>
      </c>
      <c r="H686" s="35">
        <v>62.46</v>
      </c>
      <c r="J686" s="35">
        <v>304514.15999999997</v>
      </c>
    </row>
    <row r="687" spans="1:11" ht="15.95" customHeight="1" x14ac:dyDescent="0.2">
      <c r="A687" s="38" t="s">
        <v>1169</v>
      </c>
      <c r="B687" s="385" t="s">
        <v>1170</v>
      </c>
      <c r="C687" s="386"/>
      <c r="D687" s="386"/>
      <c r="E687" s="35">
        <v>0</v>
      </c>
      <c r="F687" s="35">
        <v>191580.76</v>
      </c>
      <c r="H687" s="35">
        <v>40.520000000000003</v>
      </c>
      <c r="J687" s="35">
        <v>191540.24</v>
      </c>
    </row>
    <row r="688" spans="1:11" ht="15.95" customHeight="1" x14ac:dyDescent="0.2">
      <c r="A688" s="38" t="s">
        <v>1171</v>
      </c>
      <c r="B688" s="385" t="s">
        <v>1172</v>
      </c>
      <c r="C688" s="386"/>
      <c r="D688" s="386"/>
      <c r="E688" s="35">
        <v>0</v>
      </c>
      <c r="F688" s="35">
        <v>500198.99</v>
      </c>
      <c r="H688" s="35">
        <v>238540.52</v>
      </c>
      <c r="J688" s="35">
        <v>261658.47</v>
      </c>
    </row>
    <row r="689" spans="1:10" ht="15.95" customHeight="1" x14ac:dyDescent="0.2">
      <c r="A689" s="38" t="s">
        <v>1173</v>
      </c>
      <c r="B689" s="385" t="s">
        <v>1174</v>
      </c>
      <c r="C689" s="386"/>
      <c r="D689" s="386"/>
      <c r="E689" s="35">
        <v>0</v>
      </c>
      <c r="F689" s="35">
        <v>287950.31</v>
      </c>
      <c r="H689" s="35">
        <v>11477.06</v>
      </c>
      <c r="J689" s="35">
        <v>276473.25</v>
      </c>
    </row>
    <row r="690" spans="1:10" ht="15.95" customHeight="1" x14ac:dyDescent="0.2">
      <c r="A690" s="38" t="s">
        <v>1175</v>
      </c>
      <c r="B690" s="385" t="s">
        <v>1176</v>
      </c>
      <c r="C690" s="386"/>
      <c r="D690" s="386"/>
      <c r="E690" s="35">
        <v>0</v>
      </c>
      <c r="F690" s="35">
        <v>1206747.02</v>
      </c>
      <c r="H690" s="35">
        <v>56550.35</v>
      </c>
      <c r="J690" s="35">
        <v>1150196.67</v>
      </c>
    </row>
    <row r="691" spans="1:10" ht="15.95" customHeight="1" x14ac:dyDescent="0.2">
      <c r="A691" s="38" t="s">
        <v>1177</v>
      </c>
      <c r="B691" s="385" t="s">
        <v>1178</v>
      </c>
      <c r="C691" s="386"/>
      <c r="D691" s="386"/>
      <c r="E691" s="35">
        <v>0</v>
      </c>
      <c r="F691" s="35">
        <v>333097.78999999998</v>
      </c>
      <c r="H691" s="35">
        <v>16846.2</v>
      </c>
      <c r="J691" s="35">
        <v>316251.59000000003</v>
      </c>
    </row>
    <row r="692" spans="1:10" ht="15.95" customHeight="1" x14ac:dyDescent="0.2">
      <c r="A692" s="38" t="s">
        <v>1179</v>
      </c>
      <c r="B692" s="385" t="s">
        <v>1180</v>
      </c>
      <c r="C692" s="386"/>
      <c r="D692" s="386"/>
      <c r="E692" s="35">
        <v>0</v>
      </c>
      <c r="F692" s="35">
        <v>318538.13</v>
      </c>
      <c r="H692" s="35">
        <v>71043.63</v>
      </c>
      <c r="J692" s="35">
        <v>247494.5</v>
      </c>
    </row>
    <row r="693" spans="1:10" ht="15.95" customHeight="1" x14ac:dyDescent="0.2">
      <c r="A693" s="38" t="s">
        <v>1181</v>
      </c>
      <c r="B693" s="385" t="s">
        <v>1182</v>
      </c>
      <c r="C693" s="386"/>
      <c r="D693" s="386"/>
      <c r="E693" s="35">
        <v>0</v>
      </c>
      <c r="F693" s="35">
        <v>353734.34</v>
      </c>
      <c r="H693" s="35">
        <v>151926.53</v>
      </c>
      <c r="J693" s="35">
        <v>201807.81</v>
      </c>
    </row>
    <row r="694" spans="1:10" ht="15.95" customHeight="1" x14ac:dyDescent="0.2">
      <c r="A694" s="38" t="s">
        <v>1183</v>
      </c>
      <c r="B694" s="385" t="s">
        <v>1184</v>
      </c>
      <c r="C694" s="386"/>
      <c r="D694" s="386"/>
      <c r="E694" s="35">
        <v>0</v>
      </c>
      <c r="F694" s="35">
        <v>11451.8</v>
      </c>
      <c r="H694" s="35">
        <v>3947.24</v>
      </c>
      <c r="J694" s="35">
        <v>7504.56</v>
      </c>
    </row>
    <row r="695" spans="1:10" ht="15.95" customHeight="1" x14ac:dyDescent="0.2">
      <c r="A695" s="38" t="s">
        <v>1185</v>
      </c>
      <c r="B695" s="385" t="s">
        <v>1186</v>
      </c>
      <c r="C695" s="386"/>
      <c r="D695" s="386"/>
      <c r="E695" s="35">
        <v>0</v>
      </c>
      <c r="F695" s="35">
        <v>356134.94</v>
      </c>
      <c r="H695" s="35">
        <v>17190.12</v>
      </c>
      <c r="J695" s="35">
        <v>338944.82</v>
      </c>
    </row>
    <row r="696" spans="1:10" ht="15.95" customHeight="1" x14ac:dyDescent="0.2">
      <c r="A696" s="38" t="s">
        <v>1187</v>
      </c>
      <c r="B696" s="385" t="s">
        <v>1188</v>
      </c>
      <c r="C696" s="386"/>
      <c r="D696" s="386"/>
      <c r="E696" s="35">
        <v>0</v>
      </c>
      <c r="F696" s="35">
        <v>155988.76</v>
      </c>
      <c r="H696" s="35">
        <v>6160.28</v>
      </c>
      <c r="J696" s="35">
        <v>149828.48000000001</v>
      </c>
    </row>
    <row r="697" spans="1:10" ht="15.95" customHeight="1" x14ac:dyDescent="0.2">
      <c r="A697" s="38" t="s">
        <v>1189</v>
      </c>
      <c r="B697" s="385" t="s">
        <v>1190</v>
      </c>
      <c r="C697" s="386"/>
      <c r="D697" s="386"/>
      <c r="E697" s="35">
        <v>0</v>
      </c>
      <c r="F697" s="35">
        <v>5205.04</v>
      </c>
      <c r="H697" s="35">
        <v>0</v>
      </c>
      <c r="J697" s="35">
        <v>5205.04</v>
      </c>
    </row>
    <row r="698" spans="1:10" ht="15.95" customHeight="1" x14ac:dyDescent="0.2">
      <c r="A698" s="38" t="s">
        <v>1191</v>
      </c>
      <c r="B698" s="385" t="s">
        <v>1192</v>
      </c>
      <c r="C698" s="386"/>
      <c r="D698" s="386"/>
      <c r="E698" s="35">
        <v>0</v>
      </c>
      <c r="F698" s="35">
        <v>6570.62</v>
      </c>
      <c r="H698" s="35">
        <v>0</v>
      </c>
      <c r="J698" s="35">
        <v>6570.62</v>
      </c>
    </row>
    <row r="699" spans="1:10" ht="15.95" customHeight="1" x14ac:dyDescent="0.2">
      <c r="A699" s="38" t="s">
        <v>1193</v>
      </c>
      <c r="B699" s="385" t="s">
        <v>1194</v>
      </c>
      <c r="C699" s="386"/>
      <c r="D699" s="386"/>
      <c r="E699" s="35">
        <v>0</v>
      </c>
      <c r="F699" s="35">
        <v>66475.5</v>
      </c>
      <c r="H699" s="35">
        <v>15.01</v>
      </c>
      <c r="J699" s="35">
        <v>66460.490000000005</v>
      </c>
    </row>
    <row r="700" spans="1:10" ht="15.95" customHeight="1" x14ac:dyDescent="0.2">
      <c r="A700" s="38" t="s">
        <v>1195</v>
      </c>
      <c r="B700" s="385" t="s">
        <v>1196</v>
      </c>
      <c r="C700" s="386"/>
      <c r="D700" s="386"/>
      <c r="E700" s="35">
        <v>0</v>
      </c>
      <c r="F700" s="35">
        <v>9966.4599999999991</v>
      </c>
      <c r="H700" s="35">
        <v>3611.37</v>
      </c>
      <c r="J700" s="35">
        <v>6355.09</v>
      </c>
    </row>
    <row r="701" spans="1:10" ht="15.95" customHeight="1" x14ac:dyDescent="0.2">
      <c r="A701" s="38" t="s">
        <v>1197</v>
      </c>
      <c r="B701" s="385" t="s">
        <v>1198</v>
      </c>
      <c r="C701" s="386"/>
      <c r="D701" s="386"/>
      <c r="E701" s="35">
        <v>0</v>
      </c>
      <c r="F701" s="35">
        <v>255798.35</v>
      </c>
      <c r="H701" s="35">
        <v>9598.99</v>
      </c>
      <c r="J701" s="35">
        <v>246199.36</v>
      </c>
    </row>
    <row r="702" spans="1:10" ht="15.95" customHeight="1" x14ac:dyDescent="0.2">
      <c r="A702" s="38" t="s">
        <v>1199</v>
      </c>
      <c r="B702" s="385" t="s">
        <v>1200</v>
      </c>
      <c r="C702" s="386"/>
      <c r="D702" s="386"/>
      <c r="E702" s="35">
        <v>0</v>
      </c>
      <c r="F702" s="35">
        <v>137900.20000000001</v>
      </c>
      <c r="H702" s="35">
        <v>0</v>
      </c>
      <c r="J702" s="35">
        <v>137900.20000000001</v>
      </c>
    </row>
    <row r="703" spans="1:10" ht="15.95" customHeight="1" x14ac:dyDescent="0.2">
      <c r="A703" s="38">
        <v>4110102</v>
      </c>
      <c r="B703" s="385" t="s">
        <v>1548</v>
      </c>
      <c r="C703" s="386"/>
      <c r="D703" s="386"/>
      <c r="E703" s="35">
        <v>0</v>
      </c>
      <c r="F703" s="35">
        <v>12208</v>
      </c>
      <c r="H703" s="35">
        <v>0</v>
      </c>
      <c r="J703" s="35">
        <v>12208</v>
      </c>
    </row>
    <row r="704" spans="1:10" ht="27.95" customHeight="1" x14ac:dyDescent="0.2">
      <c r="A704" s="38" t="s">
        <v>1624</v>
      </c>
      <c r="B704" s="385" t="s">
        <v>1203</v>
      </c>
      <c r="C704" s="386"/>
      <c r="D704" s="386"/>
      <c r="E704" s="35">
        <v>0</v>
      </c>
      <c r="F704" s="35">
        <v>12118</v>
      </c>
      <c r="H704" s="35">
        <v>0</v>
      </c>
      <c r="J704" s="35">
        <v>12118</v>
      </c>
    </row>
    <row r="705" spans="1:10" ht="15.95" customHeight="1" x14ac:dyDescent="0.2">
      <c r="A705" s="38" t="s">
        <v>1549</v>
      </c>
      <c r="B705" s="385" t="s">
        <v>1300</v>
      </c>
      <c r="C705" s="386"/>
      <c r="D705" s="386"/>
      <c r="E705" s="35">
        <v>0</v>
      </c>
      <c r="F705" s="35">
        <v>90</v>
      </c>
      <c r="H705" s="35">
        <v>0</v>
      </c>
      <c r="J705" s="35">
        <v>90</v>
      </c>
    </row>
    <row r="706" spans="1:10" ht="15.95" customHeight="1" x14ac:dyDescent="0.2">
      <c r="A706" s="38">
        <v>4110103</v>
      </c>
      <c r="B706" s="385" t="s">
        <v>1201</v>
      </c>
      <c r="C706" s="386"/>
      <c r="D706" s="386"/>
      <c r="E706" s="35">
        <v>0</v>
      </c>
      <c r="F706" s="35">
        <v>5037084.8600000003</v>
      </c>
      <c r="H706" s="35">
        <v>761272.08</v>
      </c>
      <c r="J706" s="35">
        <v>4275812.78</v>
      </c>
    </row>
    <row r="707" spans="1:10" ht="15.95" customHeight="1" x14ac:dyDescent="0.2">
      <c r="A707" s="38" t="s">
        <v>1202</v>
      </c>
      <c r="B707" s="385" t="s">
        <v>1203</v>
      </c>
      <c r="C707" s="386"/>
      <c r="D707" s="386"/>
      <c r="E707" s="35">
        <v>0</v>
      </c>
      <c r="F707" s="35">
        <v>8745</v>
      </c>
      <c r="H707" s="35">
        <v>0</v>
      </c>
      <c r="J707" s="35">
        <v>8745</v>
      </c>
    </row>
    <row r="708" spans="1:10" ht="15.95" customHeight="1" x14ac:dyDescent="0.2">
      <c r="A708" s="38" t="s">
        <v>1204</v>
      </c>
      <c r="B708" s="385" t="s">
        <v>1205</v>
      </c>
      <c r="C708" s="386"/>
      <c r="D708" s="386"/>
      <c r="E708" s="35">
        <v>0</v>
      </c>
      <c r="F708" s="35">
        <v>133159.82</v>
      </c>
      <c r="H708" s="35">
        <v>0</v>
      </c>
      <c r="J708" s="35">
        <v>133159.82</v>
      </c>
    </row>
    <row r="709" spans="1:10" ht="15.95" customHeight="1" x14ac:dyDescent="0.2">
      <c r="A709" s="38" t="s">
        <v>1206</v>
      </c>
      <c r="B709" s="385" t="s">
        <v>1207</v>
      </c>
      <c r="C709" s="386"/>
      <c r="D709" s="386"/>
      <c r="E709" s="35">
        <v>0</v>
      </c>
      <c r="F709" s="35">
        <v>650164.67000000004</v>
      </c>
      <c r="H709" s="35">
        <v>0</v>
      </c>
      <c r="J709" s="35">
        <v>650164.67000000004</v>
      </c>
    </row>
    <row r="710" spans="1:10" ht="15.95" customHeight="1" x14ac:dyDescent="0.2">
      <c r="A710" s="38" t="s">
        <v>1550</v>
      </c>
      <c r="B710" s="385" t="s">
        <v>1551</v>
      </c>
      <c r="C710" s="386"/>
      <c r="D710" s="386"/>
      <c r="E710" s="35">
        <v>0</v>
      </c>
      <c r="F710" s="35">
        <v>441.79</v>
      </c>
      <c r="H710" s="35">
        <v>0</v>
      </c>
      <c r="J710" s="35">
        <v>441.79</v>
      </c>
    </row>
    <row r="711" spans="1:10" ht="15.95" customHeight="1" x14ac:dyDescent="0.2">
      <c r="A711" s="38" t="s">
        <v>1208</v>
      </c>
      <c r="B711" s="385" t="s">
        <v>1209</v>
      </c>
      <c r="C711" s="386"/>
      <c r="D711" s="386"/>
      <c r="E711" s="35">
        <v>0</v>
      </c>
      <c r="F711" s="35">
        <v>1335986.6200000001</v>
      </c>
      <c r="H711" s="35">
        <v>9500</v>
      </c>
      <c r="J711" s="35">
        <v>1326486.6200000001</v>
      </c>
    </row>
    <row r="712" spans="1:10" ht="15.95" customHeight="1" x14ac:dyDescent="0.2">
      <c r="A712" s="38" t="s">
        <v>1552</v>
      </c>
      <c r="B712" s="385" t="s">
        <v>1306</v>
      </c>
      <c r="C712" s="386"/>
      <c r="D712" s="386"/>
      <c r="E712" s="35">
        <v>0</v>
      </c>
      <c r="F712" s="35">
        <v>743834.87</v>
      </c>
      <c r="H712" s="35">
        <v>743834.87</v>
      </c>
      <c r="J712" s="35">
        <v>0</v>
      </c>
    </row>
    <row r="713" spans="1:10" ht="15.95" customHeight="1" x14ac:dyDescent="0.2">
      <c r="A713" s="38" t="s">
        <v>1553</v>
      </c>
      <c r="B713" s="385" t="s">
        <v>1554</v>
      </c>
      <c r="C713" s="386"/>
      <c r="D713" s="386"/>
      <c r="E713" s="35">
        <v>0</v>
      </c>
      <c r="F713" s="35">
        <v>89400</v>
      </c>
      <c r="H713" s="35">
        <v>0</v>
      </c>
      <c r="J713" s="35">
        <v>89400</v>
      </c>
    </row>
    <row r="714" spans="1:10" ht="15.95" customHeight="1" x14ac:dyDescent="0.2">
      <c r="A714" s="38" t="s">
        <v>1214</v>
      </c>
      <c r="B714" s="385" t="s">
        <v>1215</v>
      </c>
      <c r="C714" s="386"/>
      <c r="D714" s="386"/>
      <c r="E714" s="35">
        <v>0</v>
      </c>
      <c r="F714" s="35">
        <v>36562.11</v>
      </c>
      <c r="H714" s="35">
        <v>7937.21</v>
      </c>
      <c r="J714" s="35">
        <v>28624.9</v>
      </c>
    </row>
    <row r="715" spans="1:10" ht="15.95" customHeight="1" x14ac:dyDescent="0.2">
      <c r="A715" s="38" t="s">
        <v>1216</v>
      </c>
      <c r="B715" s="385" t="s">
        <v>1217</v>
      </c>
      <c r="C715" s="386"/>
      <c r="D715" s="386"/>
      <c r="E715" s="35">
        <v>0</v>
      </c>
      <c r="F715" s="35">
        <v>448500</v>
      </c>
      <c r="H715" s="35">
        <v>0</v>
      </c>
      <c r="J715" s="35">
        <v>448500</v>
      </c>
    </row>
    <row r="716" spans="1:10" ht="15.95" customHeight="1" x14ac:dyDescent="0.2">
      <c r="A716" s="38" t="s">
        <v>1218</v>
      </c>
      <c r="B716" s="385" t="s">
        <v>1219</v>
      </c>
      <c r="C716" s="386"/>
      <c r="D716" s="386"/>
      <c r="E716" s="35">
        <v>0</v>
      </c>
      <c r="F716" s="35">
        <v>1214941.98</v>
      </c>
      <c r="H716" s="35">
        <v>0</v>
      </c>
      <c r="J716" s="35">
        <v>1214941.98</v>
      </c>
    </row>
    <row r="717" spans="1:10" ht="15.95" customHeight="1" x14ac:dyDescent="0.2">
      <c r="A717" s="38" t="s">
        <v>1220</v>
      </c>
      <c r="B717" s="385" t="s">
        <v>1221</v>
      </c>
      <c r="C717" s="386"/>
      <c r="D717" s="386"/>
      <c r="E717" s="35">
        <v>0</v>
      </c>
      <c r="F717" s="35">
        <v>375348</v>
      </c>
      <c r="H717" s="35">
        <v>0</v>
      </c>
      <c r="J717" s="35">
        <v>375348</v>
      </c>
    </row>
    <row r="718" spans="1:10" ht="15.95" customHeight="1" x14ac:dyDescent="0.2">
      <c r="A718" s="38">
        <v>4110104</v>
      </c>
      <c r="B718" s="385" t="s">
        <v>1222</v>
      </c>
      <c r="C718" s="386"/>
      <c r="D718" s="386"/>
      <c r="E718" s="35">
        <v>0</v>
      </c>
      <c r="F718" s="35">
        <v>17139.21</v>
      </c>
      <c r="H718" s="35">
        <v>0</v>
      </c>
      <c r="J718" s="35">
        <v>17139.21</v>
      </c>
    </row>
    <row r="719" spans="1:10" ht="15.95" customHeight="1" x14ac:dyDescent="0.2">
      <c r="A719" s="38" t="s">
        <v>1555</v>
      </c>
      <c r="B719" s="385" t="s">
        <v>188</v>
      </c>
      <c r="C719" s="386"/>
      <c r="D719" s="386"/>
      <c r="E719" s="35">
        <v>0</v>
      </c>
      <c r="F719" s="35">
        <v>636.54</v>
      </c>
      <c r="H719" s="35">
        <v>0</v>
      </c>
      <c r="J719" s="35">
        <v>636.54</v>
      </c>
    </row>
    <row r="720" spans="1:10" ht="15.95" customHeight="1" x14ac:dyDescent="0.2">
      <c r="A720" s="38" t="s">
        <v>1225</v>
      </c>
      <c r="B720" s="385" t="s">
        <v>182</v>
      </c>
      <c r="C720" s="386"/>
      <c r="D720" s="386"/>
      <c r="E720" s="35">
        <v>0</v>
      </c>
      <c r="F720" s="35">
        <v>2746.15</v>
      </c>
      <c r="H720" s="35">
        <v>0</v>
      </c>
      <c r="J720" s="35">
        <v>2746.15</v>
      </c>
    </row>
    <row r="721" spans="1:10" ht="15.95" customHeight="1" x14ac:dyDescent="0.2">
      <c r="A721" s="38" t="s">
        <v>1228</v>
      </c>
      <c r="B721" s="385" t="s">
        <v>194</v>
      </c>
      <c r="C721" s="386"/>
      <c r="D721" s="386"/>
      <c r="E721" s="35">
        <v>0</v>
      </c>
      <c r="F721" s="35">
        <v>9903.84</v>
      </c>
      <c r="H721" s="35">
        <v>0</v>
      </c>
      <c r="J721" s="35">
        <v>9903.84</v>
      </c>
    </row>
    <row r="722" spans="1:10" ht="15.95" customHeight="1" x14ac:dyDescent="0.2">
      <c r="A722" s="38" t="s">
        <v>1229</v>
      </c>
      <c r="B722" s="385" t="s">
        <v>1230</v>
      </c>
      <c r="C722" s="386"/>
      <c r="D722" s="386"/>
      <c r="E722" s="35">
        <v>0</v>
      </c>
      <c r="F722" s="35">
        <v>582</v>
      </c>
      <c r="H722" s="35">
        <v>0</v>
      </c>
      <c r="J722" s="35">
        <v>582</v>
      </c>
    </row>
    <row r="723" spans="1:10" ht="15.95" customHeight="1" x14ac:dyDescent="0.2">
      <c r="A723" s="38" t="s">
        <v>1233</v>
      </c>
      <c r="B723" s="385" t="s">
        <v>1234</v>
      </c>
      <c r="C723" s="386"/>
      <c r="D723" s="386"/>
      <c r="E723" s="35">
        <v>0</v>
      </c>
      <c r="F723" s="35">
        <v>2540.69</v>
      </c>
      <c r="H723" s="35">
        <v>0</v>
      </c>
      <c r="J723" s="35">
        <v>2540.69</v>
      </c>
    </row>
    <row r="724" spans="1:10" ht="15.95" customHeight="1" x14ac:dyDescent="0.2">
      <c r="A724" s="38" t="s">
        <v>1235</v>
      </c>
      <c r="B724" s="385" t="s">
        <v>1236</v>
      </c>
      <c r="C724" s="386"/>
      <c r="D724" s="386"/>
      <c r="E724" s="35">
        <v>0</v>
      </c>
      <c r="F724" s="35">
        <v>729.99</v>
      </c>
      <c r="H724" s="35">
        <v>0</v>
      </c>
      <c r="J724" s="35">
        <v>729.99</v>
      </c>
    </row>
    <row r="725" spans="1:10" ht="15.95" customHeight="1" x14ac:dyDescent="0.2">
      <c r="A725" s="38">
        <v>4110105</v>
      </c>
      <c r="B725" s="385" t="s">
        <v>1237</v>
      </c>
      <c r="C725" s="386"/>
      <c r="D725" s="386"/>
      <c r="E725" s="35">
        <v>0</v>
      </c>
      <c r="F725" s="35">
        <v>11088840.130000001</v>
      </c>
      <c r="H725" s="35">
        <v>478383.4</v>
      </c>
      <c r="J725" s="35">
        <v>10610456.73</v>
      </c>
    </row>
    <row r="726" spans="1:10" ht="15.95" customHeight="1" x14ac:dyDescent="0.2">
      <c r="A726" s="38" t="s">
        <v>1238</v>
      </c>
      <c r="B726" s="385" t="s">
        <v>1239</v>
      </c>
      <c r="C726" s="386"/>
      <c r="D726" s="386"/>
      <c r="E726" s="35">
        <v>0</v>
      </c>
      <c r="F726" s="35">
        <v>184751.07</v>
      </c>
      <c r="H726" s="35">
        <v>0</v>
      </c>
      <c r="J726" s="35">
        <v>184751.07</v>
      </c>
    </row>
    <row r="727" spans="1:10" ht="15.95" customHeight="1" x14ac:dyDescent="0.2">
      <c r="A727" s="38" t="s">
        <v>1240</v>
      </c>
      <c r="B727" s="385" t="s">
        <v>1241</v>
      </c>
      <c r="C727" s="386"/>
      <c r="D727" s="386"/>
      <c r="E727" s="35">
        <v>0</v>
      </c>
      <c r="F727" s="35">
        <v>2023707.45</v>
      </c>
      <c r="H727" s="35">
        <v>93144.7</v>
      </c>
      <c r="J727" s="35">
        <v>1930562.75</v>
      </c>
    </row>
    <row r="728" spans="1:10" ht="15.95" customHeight="1" x14ac:dyDescent="0.2">
      <c r="A728" s="38" t="s">
        <v>1242</v>
      </c>
      <c r="B728" s="385" t="s">
        <v>1243</v>
      </c>
      <c r="C728" s="386"/>
      <c r="D728" s="386"/>
      <c r="E728" s="35">
        <v>0</v>
      </c>
      <c r="F728" s="35">
        <v>126000</v>
      </c>
      <c r="H728" s="35">
        <v>0</v>
      </c>
      <c r="J728" s="35">
        <v>126000</v>
      </c>
    </row>
    <row r="729" spans="1:10" ht="15.95" customHeight="1" x14ac:dyDescent="0.2">
      <c r="A729" s="38" t="s">
        <v>1244</v>
      </c>
      <c r="B729" s="385" t="s">
        <v>1245</v>
      </c>
      <c r="C729" s="386"/>
      <c r="D729" s="386"/>
      <c r="E729" s="35">
        <v>0</v>
      </c>
      <c r="F729" s="35">
        <v>57000</v>
      </c>
      <c r="H729" s="35">
        <v>0</v>
      </c>
      <c r="J729" s="35">
        <v>57000</v>
      </c>
    </row>
    <row r="730" spans="1:10" ht="15.95" customHeight="1" x14ac:dyDescent="0.2">
      <c r="A730" s="38" t="s">
        <v>1556</v>
      </c>
      <c r="B730" s="385" t="s">
        <v>1557</v>
      </c>
      <c r="C730" s="386"/>
      <c r="D730" s="386"/>
      <c r="E730" s="35">
        <v>0</v>
      </c>
      <c r="F730" s="35">
        <v>2741051.98</v>
      </c>
      <c r="H730" s="35">
        <v>0</v>
      </c>
      <c r="J730" s="35">
        <v>2741051.98</v>
      </c>
    </row>
    <row r="731" spans="1:10" ht="15.95" customHeight="1" x14ac:dyDescent="0.2">
      <c r="A731" s="38" t="s">
        <v>1246</v>
      </c>
      <c r="B731" s="385" t="s">
        <v>1247</v>
      </c>
      <c r="C731" s="386"/>
      <c r="D731" s="386"/>
      <c r="E731" s="35">
        <v>0</v>
      </c>
      <c r="F731" s="35">
        <v>0</v>
      </c>
      <c r="H731" s="35">
        <v>385238.7</v>
      </c>
      <c r="J731" s="35">
        <v>-385238.7</v>
      </c>
    </row>
    <row r="732" spans="1:10" ht="15.95" customHeight="1" x14ac:dyDescent="0.2">
      <c r="A732" s="38" t="s">
        <v>1248</v>
      </c>
      <c r="B732" s="385" t="s">
        <v>1249</v>
      </c>
      <c r="C732" s="386"/>
      <c r="D732" s="386"/>
      <c r="E732" s="35">
        <v>0</v>
      </c>
      <c r="F732" s="35">
        <v>5956329.6299999999</v>
      </c>
      <c r="H732" s="35">
        <v>0</v>
      </c>
      <c r="J732" s="35">
        <v>5956329.6299999999</v>
      </c>
    </row>
    <row r="733" spans="1:10" ht="15.95" customHeight="1" x14ac:dyDescent="0.2">
      <c r="A733" s="38">
        <v>5</v>
      </c>
      <c r="B733" s="385" t="s">
        <v>1250</v>
      </c>
      <c r="C733" s="386"/>
      <c r="D733" s="386"/>
      <c r="E733" s="35">
        <v>0</v>
      </c>
      <c r="F733" s="35">
        <v>17537581.620000001</v>
      </c>
      <c r="H733" s="35">
        <v>796670.12</v>
      </c>
      <c r="J733" s="35">
        <v>16740911.5</v>
      </c>
    </row>
    <row r="734" spans="1:10" ht="15.95" customHeight="1" x14ac:dyDescent="0.2">
      <c r="A734" s="38">
        <v>51</v>
      </c>
      <c r="B734" s="385" t="s">
        <v>1250</v>
      </c>
      <c r="C734" s="386"/>
      <c r="D734" s="386"/>
      <c r="E734" s="35">
        <v>0</v>
      </c>
      <c r="F734" s="35">
        <v>15587996.18</v>
      </c>
      <c r="H734" s="35">
        <v>523060.66</v>
      </c>
      <c r="J734" s="35">
        <v>15064935.52</v>
      </c>
    </row>
    <row r="735" spans="1:10" ht="15.95" customHeight="1" x14ac:dyDescent="0.2">
      <c r="A735" s="38">
        <v>511</v>
      </c>
      <c r="B735" s="385" t="s">
        <v>1251</v>
      </c>
      <c r="C735" s="386"/>
      <c r="D735" s="386"/>
      <c r="E735" s="35">
        <v>0</v>
      </c>
      <c r="F735" s="35">
        <v>15587996.18</v>
      </c>
      <c r="H735" s="35">
        <v>523060.66</v>
      </c>
      <c r="J735" s="35">
        <v>15064935.52</v>
      </c>
    </row>
    <row r="736" spans="1:10" ht="15.95" customHeight="1" x14ac:dyDescent="0.2">
      <c r="A736" s="38">
        <v>51101</v>
      </c>
      <c r="B736" s="385" t="s">
        <v>1251</v>
      </c>
      <c r="C736" s="386"/>
      <c r="D736" s="386"/>
      <c r="E736" s="35">
        <v>0</v>
      </c>
      <c r="F736" s="35">
        <v>15587996.18</v>
      </c>
      <c r="H736" s="35">
        <v>523060.66</v>
      </c>
      <c r="J736" s="35">
        <v>15064935.52</v>
      </c>
    </row>
    <row r="737" spans="1:10" ht="15.95" customHeight="1" x14ac:dyDescent="0.2">
      <c r="A737" s="38">
        <v>5110101</v>
      </c>
      <c r="B737" s="385" t="s">
        <v>1252</v>
      </c>
      <c r="C737" s="386"/>
      <c r="D737" s="386"/>
      <c r="E737" s="35">
        <v>0</v>
      </c>
      <c r="F737" s="35">
        <v>7888499.1100000003</v>
      </c>
      <c r="H737" s="35">
        <v>504196.35</v>
      </c>
      <c r="J737" s="35">
        <v>7384302.7599999998</v>
      </c>
    </row>
    <row r="738" spans="1:10" ht="15.95" customHeight="1" x14ac:dyDescent="0.2">
      <c r="A738" s="38" t="s">
        <v>1253</v>
      </c>
      <c r="B738" s="385" t="s">
        <v>1164</v>
      </c>
      <c r="C738" s="386"/>
      <c r="D738" s="386"/>
      <c r="E738" s="35">
        <v>0</v>
      </c>
      <c r="F738" s="35">
        <v>2380150.9900000002</v>
      </c>
      <c r="H738" s="35">
        <v>48442.73</v>
      </c>
      <c r="J738" s="35">
        <v>2331708.2599999998</v>
      </c>
    </row>
    <row r="739" spans="1:10" ht="15.95" customHeight="1" x14ac:dyDescent="0.2">
      <c r="A739" s="38" t="s">
        <v>1254</v>
      </c>
      <c r="B739" s="385" t="s">
        <v>1166</v>
      </c>
      <c r="C739" s="386"/>
      <c r="D739" s="386"/>
      <c r="E739" s="35">
        <v>0</v>
      </c>
      <c r="F739" s="35">
        <v>812009.68</v>
      </c>
      <c r="H739" s="35">
        <v>665.03</v>
      </c>
      <c r="J739" s="35">
        <v>811344.65</v>
      </c>
    </row>
    <row r="740" spans="1:10" ht="15.95" customHeight="1" x14ac:dyDescent="0.2">
      <c r="A740" s="38" t="s">
        <v>1255</v>
      </c>
      <c r="B740" s="385" t="s">
        <v>1186</v>
      </c>
      <c r="C740" s="386"/>
      <c r="D740" s="386"/>
      <c r="E740" s="35">
        <v>0</v>
      </c>
      <c r="F740" s="35">
        <v>199617.49</v>
      </c>
      <c r="H740" s="35">
        <v>13530.33</v>
      </c>
      <c r="J740" s="35">
        <v>186087.16</v>
      </c>
    </row>
    <row r="741" spans="1:10" ht="15.95" customHeight="1" x14ac:dyDescent="0.2">
      <c r="A741" s="38" t="s">
        <v>1258</v>
      </c>
      <c r="B741" s="385" t="s">
        <v>1176</v>
      </c>
      <c r="C741" s="386"/>
      <c r="D741" s="386"/>
      <c r="E741" s="35">
        <v>0</v>
      </c>
      <c r="F741" s="35">
        <v>1330590.23</v>
      </c>
      <c r="H741" s="35">
        <v>52486.96</v>
      </c>
      <c r="J741" s="35">
        <v>1278103.27</v>
      </c>
    </row>
    <row r="742" spans="1:10" ht="15.95" customHeight="1" x14ac:dyDescent="0.2">
      <c r="A742" s="38" t="s">
        <v>1259</v>
      </c>
      <c r="B742" s="385" t="s">
        <v>1178</v>
      </c>
      <c r="C742" s="386"/>
      <c r="D742" s="386"/>
      <c r="E742" s="35">
        <v>0</v>
      </c>
      <c r="F742" s="35">
        <v>378634</v>
      </c>
      <c r="H742" s="35">
        <v>15689.48</v>
      </c>
      <c r="J742" s="35">
        <v>362944.52</v>
      </c>
    </row>
    <row r="743" spans="1:10" ht="15.95" customHeight="1" x14ac:dyDescent="0.2">
      <c r="A743" s="38" t="s">
        <v>1260</v>
      </c>
      <c r="B743" s="385" t="s">
        <v>1261</v>
      </c>
      <c r="C743" s="386"/>
      <c r="D743" s="386"/>
      <c r="E743" s="35">
        <v>0</v>
      </c>
      <c r="F743" s="35">
        <v>332528.25</v>
      </c>
      <c r="H743" s="35">
        <v>12773.4</v>
      </c>
      <c r="J743" s="35">
        <v>319754.84999999998</v>
      </c>
    </row>
    <row r="744" spans="1:10" ht="15.95" customHeight="1" x14ac:dyDescent="0.2">
      <c r="A744" s="38" t="s">
        <v>1262</v>
      </c>
      <c r="B744" s="385" t="s">
        <v>1263</v>
      </c>
      <c r="C744" s="386"/>
      <c r="D744" s="386"/>
      <c r="E744" s="35">
        <v>0</v>
      </c>
      <c r="F744" s="35">
        <v>534417.43000000005</v>
      </c>
      <c r="H744" s="35">
        <v>231316.58</v>
      </c>
      <c r="J744" s="35">
        <v>303100.84999999998</v>
      </c>
    </row>
    <row r="745" spans="1:10" ht="15.95" customHeight="1" x14ac:dyDescent="0.2">
      <c r="A745" s="38" t="s">
        <v>1264</v>
      </c>
      <c r="B745" s="385" t="s">
        <v>1184</v>
      </c>
      <c r="C745" s="386"/>
      <c r="D745" s="386"/>
      <c r="E745" s="35">
        <v>0</v>
      </c>
      <c r="F745" s="35">
        <v>57</v>
      </c>
      <c r="H745" s="35">
        <v>57</v>
      </c>
      <c r="J745" s="35">
        <v>0</v>
      </c>
    </row>
    <row r="746" spans="1:10" ht="15.95" customHeight="1" x14ac:dyDescent="0.2">
      <c r="A746" s="38" t="s">
        <v>1265</v>
      </c>
      <c r="B746" s="385" t="s">
        <v>1266</v>
      </c>
      <c r="C746" s="386"/>
      <c r="D746" s="386"/>
      <c r="E746" s="35">
        <v>0</v>
      </c>
      <c r="F746" s="35">
        <v>635899.75</v>
      </c>
      <c r="H746" s="35">
        <v>91454.97</v>
      </c>
      <c r="J746" s="35">
        <v>544444.78</v>
      </c>
    </row>
    <row r="747" spans="1:10" ht="15.95" customHeight="1" x14ac:dyDescent="0.2">
      <c r="A747" s="38" t="s">
        <v>1267</v>
      </c>
      <c r="B747" s="385" t="s">
        <v>1198</v>
      </c>
      <c r="C747" s="386"/>
      <c r="D747" s="386"/>
      <c r="E747" s="35">
        <v>0</v>
      </c>
      <c r="F747" s="35">
        <v>384278.12</v>
      </c>
      <c r="H747" s="35">
        <v>15264.01</v>
      </c>
      <c r="J747" s="35">
        <v>369014.11</v>
      </c>
    </row>
    <row r="748" spans="1:10" ht="15.95" customHeight="1" x14ac:dyDescent="0.2">
      <c r="A748" s="38" t="s">
        <v>1268</v>
      </c>
      <c r="B748" s="385" t="s">
        <v>1269</v>
      </c>
      <c r="C748" s="386"/>
      <c r="D748" s="386"/>
      <c r="E748" s="35">
        <v>0</v>
      </c>
      <c r="F748" s="35">
        <v>142782.79</v>
      </c>
      <c r="H748" s="35">
        <v>0</v>
      </c>
      <c r="J748" s="35">
        <v>142782.79</v>
      </c>
    </row>
    <row r="749" spans="1:10" ht="15.95" customHeight="1" x14ac:dyDescent="0.2">
      <c r="A749" s="38" t="s">
        <v>1270</v>
      </c>
      <c r="B749" s="385" t="s">
        <v>658</v>
      </c>
      <c r="C749" s="386"/>
      <c r="D749" s="386"/>
      <c r="E749" s="35">
        <v>0</v>
      </c>
      <c r="F749" s="35">
        <v>4340.82</v>
      </c>
      <c r="H749" s="35">
        <v>0</v>
      </c>
      <c r="J749" s="35">
        <v>4340.82</v>
      </c>
    </row>
    <row r="750" spans="1:10" ht="15.95" customHeight="1" x14ac:dyDescent="0.2">
      <c r="A750" s="38" t="s">
        <v>1271</v>
      </c>
      <c r="B750" s="385" t="s">
        <v>1272</v>
      </c>
      <c r="C750" s="386"/>
      <c r="D750" s="386"/>
      <c r="E750" s="35">
        <v>0</v>
      </c>
      <c r="F750" s="35">
        <v>4520.8900000000003</v>
      </c>
      <c r="H750" s="35">
        <v>0</v>
      </c>
      <c r="J750" s="35">
        <v>4520.8900000000003</v>
      </c>
    </row>
    <row r="751" spans="1:10" ht="15.95" customHeight="1" x14ac:dyDescent="0.2">
      <c r="A751" s="38" t="s">
        <v>1273</v>
      </c>
      <c r="B751" s="385" t="s">
        <v>1274</v>
      </c>
      <c r="C751" s="386"/>
      <c r="D751" s="386"/>
      <c r="E751" s="35">
        <v>0</v>
      </c>
      <c r="F751" s="35">
        <v>44304.72</v>
      </c>
      <c r="H751" s="35">
        <v>11098.87</v>
      </c>
      <c r="J751" s="35">
        <v>33205.85</v>
      </c>
    </row>
    <row r="752" spans="1:10" ht="15.95" customHeight="1" x14ac:dyDescent="0.2">
      <c r="A752" s="38" t="s">
        <v>1275</v>
      </c>
      <c r="B752" s="385" t="s">
        <v>1188</v>
      </c>
      <c r="C752" s="386"/>
      <c r="D752" s="386"/>
      <c r="E752" s="35">
        <v>0</v>
      </c>
      <c r="F752" s="35">
        <v>87979.53</v>
      </c>
      <c r="H752" s="35">
        <v>0</v>
      </c>
      <c r="J752" s="35">
        <v>87979.53</v>
      </c>
    </row>
    <row r="753" spans="1:10" ht="15.95" customHeight="1" x14ac:dyDescent="0.2">
      <c r="A753" s="38" t="s">
        <v>1276</v>
      </c>
      <c r="B753" s="385" t="s">
        <v>1180</v>
      </c>
      <c r="C753" s="386"/>
      <c r="D753" s="386"/>
      <c r="E753" s="35">
        <v>0</v>
      </c>
      <c r="F753" s="35">
        <v>22865.19</v>
      </c>
      <c r="H753" s="35">
        <v>7223.92</v>
      </c>
      <c r="J753" s="35">
        <v>15641.27</v>
      </c>
    </row>
    <row r="754" spans="1:10" ht="15.95" customHeight="1" x14ac:dyDescent="0.2">
      <c r="A754" s="38" t="s">
        <v>1277</v>
      </c>
      <c r="B754" s="385" t="s">
        <v>1190</v>
      </c>
      <c r="C754" s="386"/>
      <c r="D754" s="386"/>
      <c r="E754" s="35">
        <v>0</v>
      </c>
      <c r="F754" s="35">
        <v>122578.9</v>
      </c>
      <c r="H754" s="35">
        <v>0</v>
      </c>
      <c r="J754" s="35">
        <v>122578.9</v>
      </c>
    </row>
    <row r="755" spans="1:10" ht="15.95" customHeight="1" x14ac:dyDescent="0.2">
      <c r="A755" s="38" t="s">
        <v>1278</v>
      </c>
      <c r="B755" s="385" t="s">
        <v>1279</v>
      </c>
      <c r="C755" s="386"/>
      <c r="D755" s="386"/>
      <c r="E755" s="35">
        <v>0</v>
      </c>
      <c r="F755" s="35">
        <v>6351.25</v>
      </c>
      <c r="H755" s="35">
        <v>1477</v>
      </c>
      <c r="J755" s="35">
        <v>4874.25</v>
      </c>
    </row>
    <row r="756" spans="1:10" ht="15.95" customHeight="1" x14ac:dyDescent="0.2">
      <c r="A756" s="38" t="s">
        <v>1280</v>
      </c>
      <c r="B756" s="385" t="s">
        <v>1192</v>
      </c>
      <c r="C756" s="386"/>
      <c r="D756" s="386"/>
      <c r="E756" s="35">
        <v>0</v>
      </c>
      <c r="F756" s="35">
        <v>25571.83</v>
      </c>
      <c r="H756" s="35">
        <v>0</v>
      </c>
      <c r="J756" s="35">
        <v>25571.83</v>
      </c>
    </row>
    <row r="757" spans="1:10" ht="15.95" customHeight="1" x14ac:dyDescent="0.2">
      <c r="A757" s="38" t="s">
        <v>1281</v>
      </c>
      <c r="B757" s="385" t="s">
        <v>1200</v>
      </c>
      <c r="C757" s="386"/>
      <c r="D757" s="386"/>
      <c r="E757" s="35">
        <v>0</v>
      </c>
      <c r="F757" s="35">
        <v>419387.75</v>
      </c>
      <c r="H757" s="35">
        <v>2716.07</v>
      </c>
      <c r="J757" s="35">
        <v>416671.68</v>
      </c>
    </row>
    <row r="758" spans="1:10" ht="27.95" customHeight="1" x14ac:dyDescent="0.2">
      <c r="A758" s="38" t="s">
        <v>1558</v>
      </c>
      <c r="B758" s="385" t="s">
        <v>1559</v>
      </c>
      <c r="C758" s="386"/>
      <c r="D758" s="386"/>
      <c r="E758" s="35">
        <v>0</v>
      </c>
      <c r="F758" s="35">
        <v>19632.5</v>
      </c>
      <c r="H758" s="35">
        <v>0</v>
      </c>
      <c r="J758" s="35">
        <v>19632.5</v>
      </c>
    </row>
    <row r="759" spans="1:10" ht="15.95" customHeight="1" x14ac:dyDescent="0.2">
      <c r="A759" s="38">
        <v>5110102</v>
      </c>
      <c r="B759" s="385" t="s">
        <v>1286</v>
      </c>
      <c r="C759" s="386"/>
      <c r="D759" s="386"/>
      <c r="E759" s="35">
        <v>0</v>
      </c>
      <c r="F759" s="35">
        <v>218800.8</v>
      </c>
      <c r="H759" s="35">
        <v>7683.51</v>
      </c>
      <c r="J759" s="35">
        <v>211117.29</v>
      </c>
    </row>
    <row r="760" spans="1:10" ht="15.95" customHeight="1" x14ac:dyDescent="0.2">
      <c r="A760" s="38" t="s">
        <v>1287</v>
      </c>
      <c r="B760" s="385" t="s">
        <v>1288</v>
      </c>
      <c r="C760" s="386"/>
      <c r="D760" s="386"/>
      <c r="E760" s="35">
        <v>0</v>
      </c>
      <c r="F760" s="35">
        <v>68548.95</v>
      </c>
      <c r="H760" s="35">
        <v>7683.51</v>
      </c>
      <c r="J760" s="35">
        <v>60865.440000000002</v>
      </c>
    </row>
    <row r="761" spans="1:10" ht="15.95" customHeight="1" x14ac:dyDescent="0.2">
      <c r="A761" s="38" t="s">
        <v>1289</v>
      </c>
      <c r="B761" s="385" t="s">
        <v>1290</v>
      </c>
      <c r="C761" s="386"/>
      <c r="D761" s="386"/>
      <c r="E761" s="35">
        <v>0</v>
      </c>
      <c r="F761" s="35">
        <v>91574.36</v>
      </c>
      <c r="H761" s="35">
        <v>0</v>
      </c>
      <c r="J761" s="35">
        <v>91574.36</v>
      </c>
    </row>
    <row r="762" spans="1:10" ht="15.95" customHeight="1" x14ac:dyDescent="0.2">
      <c r="A762" s="38" t="s">
        <v>1625</v>
      </c>
      <c r="B762" s="385" t="s">
        <v>1562</v>
      </c>
      <c r="C762" s="386"/>
      <c r="D762" s="386"/>
      <c r="E762" s="35">
        <v>0</v>
      </c>
      <c r="F762" s="35">
        <v>59.9</v>
      </c>
      <c r="H762" s="35">
        <v>0</v>
      </c>
      <c r="J762" s="35">
        <v>59.9</v>
      </c>
    </row>
    <row r="763" spans="1:10" ht="15.95" customHeight="1" x14ac:dyDescent="0.2">
      <c r="A763" s="38" t="s">
        <v>1626</v>
      </c>
      <c r="B763" s="385" t="s">
        <v>1564</v>
      </c>
      <c r="C763" s="386"/>
      <c r="D763" s="386"/>
      <c r="E763" s="35">
        <v>0</v>
      </c>
      <c r="F763" s="35">
        <v>399</v>
      </c>
      <c r="H763" s="35">
        <v>0</v>
      </c>
      <c r="J763" s="35">
        <v>399</v>
      </c>
    </row>
    <row r="764" spans="1:10" ht="15.95" customHeight="1" x14ac:dyDescent="0.2">
      <c r="A764" s="38" t="s">
        <v>1560</v>
      </c>
      <c r="B764" s="385" t="s">
        <v>1300</v>
      </c>
      <c r="C764" s="386"/>
      <c r="D764" s="386"/>
      <c r="E764" s="35">
        <v>0</v>
      </c>
      <c r="F764" s="35">
        <v>70</v>
      </c>
      <c r="H764" s="35">
        <v>0</v>
      </c>
      <c r="J764" s="35">
        <v>70</v>
      </c>
    </row>
    <row r="765" spans="1:10" ht="15.95" customHeight="1" x14ac:dyDescent="0.2">
      <c r="A765" s="38" t="s">
        <v>1291</v>
      </c>
      <c r="B765" s="385" t="s">
        <v>1292</v>
      </c>
      <c r="C765" s="386"/>
      <c r="D765" s="386"/>
      <c r="E765" s="35">
        <v>0</v>
      </c>
      <c r="F765" s="35">
        <v>23050.53</v>
      </c>
      <c r="H765" s="35">
        <v>0</v>
      </c>
      <c r="J765" s="35">
        <v>23050.53</v>
      </c>
    </row>
    <row r="766" spans="1:10" ht="15.95" customHeight="1" x14ac:dyDescent="0.2">
      <c r="A766" s="38" t="s">
        <v>1293</v>
      </c>
      <c r="B766" s="385" t="s">
        <v>1294</v>
      </c>
      <c r="C766" s="386"/>
      <c r="D766" s="386"/>
      <c r="E766" s="35">
        <v>0</v>
      </c>
      <c r="F766" s="35">
        <v>35098.06</v>
      </c>
      <c r="H766" s="35">
        <v>0</v>
      </c>
      <c r="J766" s="35">
        <v>35098.06</v>
      </c>
    </row>
    <row r="767" spans="1:10" ht="15.95" customHeight="1" x14ac:dyDescent="0.2">
      <c r="A767" s="38">
        <v>5110103</v>
      </c>
      <c r="B767" s="385" t="s">
        <v>1295</v>
      </c>
      <c r="C767" s="386"/>
      <c r="D767" s="386"/>
      <c r="E767" s="35">
        <v>0</v>
      </c>
      <c r="F767" s="35">
        <v>4770021.1100000003</v>
      </c>
      <c r="H767" s="35">
        <v>1556.47</v>
      </c>
      <c r="J767" s="35">
        <v>4768464.6399999997</v>
      </c>
    </row>
    <row r="768" spans="1:10" ht="15.95" customHeight="1" x14ac:dyDescent="0.2">
      <c r="A768" s="38" t="s">
        <v>1627</v>
      </c>
      <c r="B768" s="385" t="s">
        <v>1628</v>
      </c>
      <c r="C768" s="386"/>
      <c r="D768" s="386"/>
      <c r="E768" s="35">
        <v>0</v>
      </c>
      <c r="F768" s="35">
        <v>36000</v>
      </c>
      <c r="H768" s="35">
        <v>0</v>
      </c>
      <c r="J768" s="35">
        <v>36000</v>
      </c>
    </row>
    <row r="769" spans="1:10" ht="15.95" customHeight="1" x14ac:dyDescent="0.2">
      <c r="A769" s="38" t="s">
        <v>1296</v>
      </c>
      <c r="B769" s="385" t="s">
        <v>1297</v>
      </c>
      <c r="C769" s="386"/>
      <c r="D769" s="386"/>
      <c r="E769" s="35">
        <v>0</v>
      </c>
      <c r="F769" s="35">
        <v>161657.98000000001</v>
      </c>
      <c r="H769" s="35">
        <v>0</v>
      </c>
      <c r="J769" s="35">
        <v>161657.98000000001</v>
      </c>
    </row>
    <row r="770" spans="1:10" ht="15.95" customHeight="1" x14ac:dyDescent="0.2">
      <c r="A770" s="38" t="s">
        <v>1298</v>
      </c>
      <c r="B770" s="385" t="s">
        <v>1203</v>
      </c>
      <c r="C770" s="386"/>
      <c r="D770" s="386"/>
      <c r="E770" s="35">
        <v>0</v>
      </c>
      <c r="F770" s="35">
        <v>833</v>
      </c>
      <c r="H770" s="35">
        <v>0</v>
      </c>
      <c r="J770" s="35">
        <v>833</v>
      </c>
    </row>
    <row r="771" spans="1:10" ht="15.95" customHeight="1" x14ac:dyDescent="0.2">
      <c r="A771" s="38" t="s">
        <v>1561</v>
      </c>
      <c r="B771" s="385" t="s">
        <v>1562</v>
      </c>
      <c r="C771" s="386"/>
      <c r="D771" s="386"/>
      <c r="E771" s="35">
        <v>0</v>
      </c>
      <c r="F771" s="35">
        <v>113203.86</v>
      </c>
      <c r="H771" s="35">
        <v>0</v>
      </c>
      <c r="J771" s="35">
        <v>113203.86</v>
      </c>
    </row>
    <row r="772" spans="1:10" ht="15.95" customHeight="1" x14ac:dyDescent="0.2">
      <c r="A772" s="38" t="s">
        <v>1563</v>
      </c>
      <c r="B772" s="385" t="s">
        <v>1564</v>
      </c>
      <c r="C772" s="386"/>
      <c r="D772" s="386"/>
      <c r="E772" s="35">
        <v>0</v>
      </c>
      <c r="F772" s="35">
        <v>1020</v>
      </c>
      <c r="H772" s="35">
        <v>0</v>
      </c>
      <c r="J772" s="35">
        <v>1020</v>
      </c>
    </row>
    <row r="773" spans="1:10" ht="15.95" customHeight="1" x14ac:dyDescent="0.2">
      <c r="A773" s="38" t="s">
        <v>1299</v>
      </c>
      <c r="B773" s="385" t="s">
        <v>1300</v>
      </c>
      <c r="C773" s="386"/>
      <c r="D773" s="386"/>
      <c r="E773" s="35">
        <v>0</v>
      </c>
      <c r="F773" s="35">
        <v>9893.58</v>
      </c>
      <c r="H773" s="35">
        <v>0</v>
      </c>
      <c r="J773" s="35">
        <v>9893.58</v>
      </c>
    </row>
    <row r="774" spans="1:10" ht="15.95" customHeight="1" x14ac:dyDescent="0.2">
      <c r="A774" s="38" t="s">
        <v>1565</v>
      </c>
      <c r="B774" s="385" t="s">
        <v>1566</v>
      </c>
      <c r="C774" s="386"/>
      <c r="D774" s="386"/>
      <c r="E774" s="35">
        <v>0</v>
      </c>
      <c r="F774" s="35">
        <v>15495.21</v>
      </c>
      <c r="H774" s="35">
        <v>0</v>
      </c>
      <c r="J774" s="35">
        <v>15495.21</v>
      </c>
    </row>
    <row r="775" spans="1:10" ht="15.95" customHeight="1" x14ac:dyDescent="0.2">
      <c r="A775" s="38" t="s">
        <v>1301</v>
      </c>
      <c r="B775" s="385" t="s">
        <v>1302</v>
      </c>
      <c r="C775" s="386"/>
      <c r="D775" s="386"/>
      <c r="E775" s="35">
        <v>0</v>
      </c>
      <c r="F775" s="35">
        <v>16976.52</v>
      </c>
      <c r="H775" s="35">
        <v>0</v>
      </c>
      <c r="J775" s="35">
        <v>16976.52</v>
      </c>
    </row>
    <row r="776" spans="1:10" ht="15.95" customHeight="1" x14ac:dyDescent="0.2">
      <c r="A776" s="38" t="s">
        <v>1303</v>
      </c>
      <c r="B776" s="385" t="s">
        <v>1304</v>
      </c>
      <c r="C776" s="386"/>
      <c r="D776" s="386"/>
      <c r="E776" s="35">
        <v>0</v>
      </c>
      <c r="F776" s="35">
        <v>1213530.51</v>
      </c>
      <c r="H776" s="35">
        <v>0</v>
      </c>
      <c r="J776" s="35">
        <v>1213530.51</v>
      </c>
    </row>
    <row r="777" spans="1:10" ht="15.95" customHeight="1" x14ac:dyDescent="0.2">
      <c r="A777" s="38" t="s">
        <v>1305</v>
      </c>
      <c r="B777" s="385" t="s">
        <v>1306</v>
      </c>
      <c r="C777" s="386"/>
      <c r="D777" s="386"/>
      <c r="E777" s="35">
        <v>0</v>
      </c>
      <c r="F777" s="35">
        <v>1598454.61</v>
      </c>
      <c r="H777" s="35">
        <v>0</v>
      </c>
      <c r="J777" s="35">
        <v>1598454.61</v>
      </c>
    </row>
    <row r="778" spans="1:10" ht="15.95" customHeight="1" x14ac:dyDescent="0.2">
      <c r="A778" s="38" t="s">
        <v>1307</v>
      </c>
      <c r="B778" s="385" t="s">
        <v>1308</v>
      </c>
      <c r="C778" s="386"/>
      <c r="D778" s="386"/>
      <c r="E778" s="35">
        <v>0</v>
      </c>
      <c r="F778" s="35">
        <v>12608</v>
      </c>
      <c r="H778" s="35">
        <v>0</v>
      </c>
      <c r="J778" s="35">
        <v>12608</v>
      </c>
    </row>
    <row r="779" spans="1:10" ht="15.95" customHeight="1" x14ac:dyDescent="0.2">
      <c r="A779" s="38" t="s">
        <v>1309</v>
      </c>
      <c r="B779" s="385" t="s">
        <v>1310</v>
      </c>
      <c r="C779" s="386"/>
      <c r="D779" s="386"/>
      <c r="E779" s="35">
        <v>0</v>
      </c>
      <c r="F779" s="35">
        <v>1465032.44</v>
      </c>
      <c r="H779" s="35">
        <v>1556.47</v>
      </c>
      <c r="J779" s="35">
        <v>1463475.97</v>
      </c>
    </row>
    <row r="780" spans="1:10" ht="15.95" customHeight="1" x14ac:dyDescent="0.2">
      <c r="A780" s="38" t="s">
        <v>1311</v>
      </c>
      <c r="B780" s="385" t="s">
        <v>1312</v>
      </c>
      <c r="C780" s="386"/>
      <c r="D780" s="386"/>
      <c r="E780" s="35">
        <v>0</v>
      </c>
      <c r="F780" s="35">
        <v>6500</v>
      </c>
      <c r="H780" s="35">
        <v>0</v>
      </c>
      <c r="J780" s="35">
        <v>6500</v>
      </c>
    </row>
    <row r="781" spans="1:10" ht="15.95" customHeight="1" x14ac:dyDescent="0.2">
      <c r="A781" s="38" t="s">
        <v>1313</v>
      </c>
      <c r="B781" s="385" t="s">
        <v>1314</v>
      </c>
      <c r="C781" s="386"/>
      <c r="D781" s="386"/>
      <c r="E781" s="35">
        <v>0</v>
      </c>
      <c r="F781" s="35">
        <v>33125</v>
      </c>
      <c r="H781" s="35">
        <v>0</v>
      </c>
      <c r="J781" s="35">
        <v>33125</v>
      </c>
    </row>
    <row r="782" spans="1:10" ht="15.95" customHeight="1" x14ac:dyDescent="0.2">
      <c r="A782" s="38" t="s">
        <v>1315</v>
      </c>
      <c r="B782" s="385" t="s">
        <v>1316</v>
      </c>
      <c r="C782" s="386"/>
      <c r="D782" s="386"/>
      <c r="E782" s="35">
        <v>0</v>
      </c>
      <c r="F782" s="35">
        <v>71540.399999999994</v>
      </c>
      <c r="H782" s="35">
        <v>0</v>
      </c>
      <c r="J782" s="35">
        <v>71540.399999999994</v>
      </c>
    </row>
    <row r="783" spans="1:10" ht="15.95" customHeight="1" x14ac:dyDescent="0.2">
      <c r="A783" s="38" t="s">
        <v>1317</v>
      </c>
      <c r="B783" s="385" t="s">
        <v>1318</v>
      </c>
      <c r="C783" s="386"/>
      <c r="D783" s="386"/>
      <c r="E783" s="35">
        <v>0</v>
      </c>
      <c r="F783" s="35">
        <v>1041</v>
      </c>
      <c r="H783" s="35">
        <v>0</v>
      </c>
      <c r="J783" s="35">
        <v>1041</v>
      </c>
    </row>
    <row r="784" spans="1:10" ht="15.95" customHeight="1" x14ac:dyDescent="0.2">
      <c r="A784" s="38" t="s">
        <v>1323</v>
      </c>
      <c r="B784" s="385" t="s">
        <v>1324</v>
      </c>
      <c r="C784" s="386"/>
      <c r="D784" s="386"/>
      <c r="E784" s="35">
        <v>0</v>
      </c>
      <c r="F784" s="35">
        <v>13109</v>
      </c>
      <c r="H784" s="35">
        <v>0</v>
      </c>
      <c r="J784" s="35">
        <v>13109</v>
      </c>
    </row>
    <row r="785" spans="1:10" ht="15.95" customHeight="1" x14ac:dyDescent="0.2">
      <c r="A785" s="38">
        <v>5110104</v>
      </c>
      <c r="B785" s="385" t="s">
        <v>1325</v>
      </c>
      <c r="C785" s="386"/>
      <c r="D785" s="386"/>
      <c r="E785" s="35">
        <v>0</v>
      </c>
      <c r="F785" s="35">
        <v>119447.35</v>
      </c>
      <c r="H785" s="35">
        <v>228.27</v>
      </c>
      <c r="J785" s="35">
        <v>119219.08</v>
      </c>
    </row>
    <row r="786" spans="1:10" ht="15.95" customHeight="1" x14ac:dyDescent="0.2">
      <c r="A786" s="38" t="s">
        <v>1326</v>
      </c>
      <c r="B786" s="385" t="s">
        <v>182</v>
      </c>
      <c r="C786" s="386"/>
      <c r="D786" s="386"/>
      <c r="E786" s="35">
        <v>0</v>
      </c>
      <c r="F786" s="35">
        <v>23699.95</v>
      </c>
      <c r="H786" s="35">
        <v>50.67</v>
      </c>
      <c r="J786" s="35">
        <v>23649.279999999999</v>
      </c>
    </row>
    <row r="787" spans="1:10" ht="15.95" customHeight="1" x14ac:dyDescent="0.2">
      <c r="A787" s="38" t="s">
        <v>1327</v>
      </c>
      <c r="B787" s="385" t="s">
        <v>1328</v>
      </c>
      <c r="C787" s="386"/>
      <c r="D787" s="386"/>
      <c r="E787" s="35">
        <v>0</v>
      </c>
      <c r="F787" s="35">
        <v>27644.9</v>
      </c>
      <c r="H787" s="35">
        <v>0</v>
      </c>
      <c r="J787" s="35">
        <v>27644.9</v>
      </c>
    </row>
    <row r="788" spans="1:10" ht="15.95" customHeight="1" x14ac:dyDescent="0.2">
      <c r="A788" s="38" t="s">
        <v>1329</v>
      </c>
      <c r="B788" s="385" t="s">
        <v>1330</v>
      </c>
      <c r="C788" s="386"/>
      <c r="D788" s="386"/>
      <c r="E788" s="35">
        <v>0</v>
      </c>
      <c r="F788" s="35">
        <v>8986.23</v>
      </c>
      <c r="H788" s="35">
        <v>0</v>
      </c>
      <c r="J788" s="35">
        <v>8986.23</v>
      </c>
    </row>
    <row r="789" spans="1:10" ht="15.95" customHeight="1" x14ac:dyDescent="0.2">
      <c r="A789" s="38" t="s">
        <v>1331</v>
      </c>
      <c r="B789" s="385" t="s">
        <v>1332</v>
      </c>
      <c r="C789" s="386"/>
      <c r="D789" s="386"/>
      <c r="E789" s="35">
        <v>0</v>
      </c>
      <c r="F789" s="35">
        <v>631.55999999999995</v>
      </c>
      <c r="H789" s="35">
        <v>0</v>
      </c>
      <c r="J789" s="35">
        <v>631.55999999999995</v>
      </c>
    </row>
    <row r="790" spans="1:10" ht="15.95" customHeight="1" x14ac:dyDescent="0.2">
      <c r="A790" s="38" t="s">
        <v>1333</v>
      </c>
      <c r="B790" s="385" t="s">
        <v>186</v>
      </c>
      <c r="C790" s="386"/>
      <c r="D790" s="386"/>
      <c r="E790" s="35">
        <v>0</v>
      </c>
      <c r="F790" s="35">
        <v>1994.75</v>
      </c>
      <c r="H790" s="35">
        <v>0</v>
      </c>
      <c r="J790" s="35">
        <v>1994.75</v>
      </c>
    </row>
    <row r="791" spans="1:10" ht="15.95" customHeight="1" x14ac:dyDescent="0.2">
      <c r="A791" s="38" t="s">
        <v>1334</v>
      </c>
      <c r="B791" s="385" t="s">
        <v>1335</v>
      </c>
      <c r="C791" s="386"/>
      <c r="D791" s="386"/>
      <c r="E791" s="35">
        <v>0</v>
      </c>
      <c r="F791" s="35">
        <v>2830.04</v>
      </c>
      <c r="H791" s="35">
        <v>0</v>
      </c>
      <c r="J791" s="35">
        <v>2830.04</v>
      </c>
    </row>
    <row r="792" spans="1:10" ht="15.95" customHeight="1" x14ac:dyDescent="0.2">
      <c r="A792" s="38" t="s">
        <v>1336</v>
      </c>
      <c r="B792" s="385" t="s">
        <v>188</v>
      </c>
      <c r="C792" s="386"/>
      <c r="D792" s="386"/>
      <c r="E792" s="35">
        <v>0</v>
      </c>
      <c r="F792" s="35">
        <v>1200.9000000000001</v>
      </c>
      <c r="H792" s="35">
        <v>0</v>
      </c>
      <c r="J792" s="35">
        <v>1200.9000000000001</v>
      </c>
    </row>
    <row r="793" spans="1:10" ht="15.95" customHeight="1" x14ac:dyDescent="0.2">
      <c r="A793" s="38" t="s">
        <v>1337</v>
      </c>
      <c r="B793" s="385" t="s">
        <v>1227</v>
      </c>
      <c r="C793" s="386"/>
      <c r="D793" s="386"/>
      <c r="E793" s="35">
        <v>0</v>
      </c>
      <c r="F793" s="35">
        <v>5959.58</v>
      </c>
      <c r="H793" s="35">
        <v>0</v>
      </c>
      <c r="J793" s="35">
        <v>5959.58</v>
      </c>
    </row>
    <row r="794" spans="1:10" ht="15.95" customHeight="1" x14ac:dyDescent="0.2">
      <c r="A794" s="38" t="s">
        <v>1338</v>
      </c>
      <c r="B794" s="385" t="s">
        <v>1224</v>
      </c>
      <c r="C794" s="386"/>
      <c r="D794" s="386"/>
      <c r="E794" s="35">
        <v>0</v>
      </c>
      <c r="F794" s="35">
        <v>39674.39</v>
      </c>
      <c r="H794" s="35">
        <v>177.6</v>
      </c>
      <c r="J794" s="35">
        <v>39496.79</v>
      </c>
    </row>
    <row r="795" spans="1:10" ht="15.95" customHeight="1" x14ac:dyDescent="0.2">
      <c r="A795" s="38" t="s">
        <v>1339</v>
      </c>
      <c r="B795" s="385" t="s">
        <v>1340</v>
      </c>
      <c r="C795" s="386"/>
      <c r="D795" s="386"/>
      <c r="E795" s="35">
        <v>0</v>
      </c>
      <c r="F795" s="35">
        <v>1372.04</v>
      </c>
      <c r="H795" s="35">
        <v>0</v>
      </c>
      <c r="J795" s="35">
        <v>1372.04</v>
      </c>
    </row>
    <row r="796" spans="1:10" ht="15.95" customHeight="1" x14ac:dyDescent="0.2">
      <c r="A796" s="38" t="s">
        <v>1629</v>
      </c>
      <c r="B796" s="385" t="s">
        <v>1630</v>
      </c>
      <c r="C796" s="386"/>
      <c r="D796" s="386"/>
      <c r="E796" s="35">
        <v>0</v>
      </c>
      <c r="F796" s="35">
        <v>5205.6000000000004</v>
      </c>
      <c r="H796" s="35">
        <v>0</v>
      </c>
      <c r="J796" s="35">
        <v>5205.6000000000004</v>
      </c>
    </row>
    <row r="797" spans="1:10" ht="15.95" customHeight="1" x14ac:dyDescent="0.2">
      <c r="A797" s="38" t="s">
        <v>1341</v>
      </c>
      <c r="B797" s="385" t="s">
        <v>1230</v>
      </c>
      <c r="C797" s="386"/>
      <c r="D797" s="386"/>
      <c r="E797" s="35">
        <v>0</v>
      </c>
      <c r="F797" s="35">
        <v>247.41</v>
      </c>
      <c r="H797" s="35">
        <v>0</v>
      </c>
      <c r="J797" s="35">
        <v>247.41</v>
      </c>
    </row>
    <row r="798" spans="1:10" ht="15.95" customHeight="1" x14ac:dyDescent="0.2">
      <c r="A798" s="38">
        <v>5110105</v>
      </c>
      <c r="B798" s="385" t="s">
        <v>1343</v>
      </c>
      <c r="C798" s="386"/>
      <c r="D798" s="386"/>
      <c r="E798" s="35">
        <v>0</v>
      </c>
      <c r="F798" s="35">
        <v>2591227.81</v>
      </c>
      <c r="H798" s="35">
        <v>9396.06</v>
      </c>
      <c r="J798" s="35">
        <v>2581831.75</v>
      </c>
    </row>
    <row r="799" spans="1:10" ht="15.95" customHeight="1" x14ac:dyDescent="0.2">
      <c r="A799" s="38" t="s">
        <v>1344</v>
      </c>
      <c r="B799" s="385" t="s">
        <v>1239</v>
      </c>
      <c r="C799" s="386"/>
      <c r="D799" s="386"/>
      <c r="E799" s="35">
        <v>0</v>
      </c>
      <c r="F799" s="35">
        <v>266398.17</v>
      </c>
      <c r="H799" s="35">
        <v>0</v>
      </c>
      <c r="J799" s="35">
        <v>266398.17</v>
      </c>
    </row>
    <row r="800" spans="1:10" ht="15.95" customHeight="1" x14ac:dyDescent="0.2">
      <c r="A800" s="38" t="s">
        <v>1345</v>
      </c>
      <c r="B800" s="385" t="s">
        <v>1346</v>
      </c>
      <c r="C800" s="386"/>
      <c r="D800" s="386"/>
      <c r="E800" s="35">
        <v>0</v>
      </c>
      <c r="F800" s="35">
        <v>18351.73</v>
      </c>
      <c r="H800" s="35">
        <v>0</v>
      </c>
      <c r="J800" s="35">
        <v>18351.73</v>
      </c>
    </row>
    <row r="801" spans="1:10" ht="15.95" customHeight="1" x14ac:dyDescent="0.2">
      <c r="A801" s="38" t="s">
        <v>1347</v>
      </c>
      <c r="B801" s="385" t="s">
        <v>1348</v>
      </c>
      <c r="C801" s="386"/>
      <c r="D801" s="386"/>
      <c r="E801" s="35">
        <v>0</v>
      </c>
      <c r="F801" s="35">
        <v>10908.61</v>
      </c>
      <c r="H801" s="35">
        <v>0</v>
      </c>
      <c r="J801" s="35">
        <v>10908.61</v>
      </c>
    </row>
    <row r="802" spans="1:10" ht="15.95" customHeight="1" x14ac:dyDescent="0.2">
      <c r="A802" s="38" t="s">
        <v>1567</v>
      </c>
      <c r="B802" s="385" t="s">
        <v>1241</v>
      </c>
      <c r="C802" s="386"/>
      <c r="D802" s="386"/>
      <c r="E802" s="35">
        <v>0</v>
      </c>
      <c r="F802" s="35">
        <v>904.17</v>
      </c>
      <c r="H802" s="35">
        <v>0</v>
      </c>
      <c r="J802" s="35">
        <v>904.17</v>
      </c>
    </row>
    <row r="803" spans="1:10" ht="15.95" customHeight="1" x14ac:dyDescent="0.2">
      <c r="A803" s="38" t="s">
        <v>1568</v>
      </c>
      <c r="B803" s="385" t="s">
        <v>1569</v>
      </c>
      <c r="C803" s="386"/>
      <c r="D803" s="386"/>
      <c r="E803" s="35">
        <v>0</v>
      </c>
      <c r="F803" s="35">
        <v>35169.53</v>
      </c>
      <c r="H803" s="35">
        <v>0</v>
      </c>
      <c r="J803" s="35">
        <v>35169.53</v>
      </c>
    </row>
    <row r="804" spans="1:10" ht="15.95" customHeight="1" x14ac:dyDescent="0.2">
      <c r="A804" s="38" t="s">
        <v>1349</v>
      </c>
      <c r="B804" s="385" t="s">
        <v>1243</v>
      </c>
      <c r="C804" s="386"/>
      <c r="D804" s="386"/>
      <c r="E804" s="35">
        <v>0</v>
      </c>
      <c r="F804" s="35">
        <v>5625</v>
      </c>
      <c r="H804" s="35">
        <v>0</v>
      </c>
      <c r="J804" s="35">
        <v>5625</v>
      </c>
    </row>
    <row r="805" spans="1:10" ht="15.95" customHeight="1" x14ac:dyDescent="0.2">
      <c r="A805" s="38" t="s">
        <v>1570</v>
      </c>
      <c r="B805" s="385" t="s">
        <v>1571</v>
      </c>
      <c r="C805" s="386"/>
      <c r="D805" s="386"/>
      <c r="E805" s="35">
        <v>0</v>
      </c>
      <c r="F805" s="35">
        <v>10336.629999999999</v>
      </c>
      <c r="H805" s="35">
        <v>0</v>
      </c>
      <c r="J805" s="35">
        <v>10336.629999999999</v>
      </c>
    </row>
    <row r="806" spans="1:10" ht="15.95" customHeight="1" x14ac:dyDescent="0.2">
      <c r="A806" s="38" t="s">
        <v>1350</v>
      </c>
      <c r="B806" s="385" t="s">
        <v>1351</v>
      </c>
      <c r="C806" s="386"/>
      <c r="D806" s="386"/>
      <c r="E806" s="35">
        <v>0</v>
      </c>
      <c r="F806" s="35">
        <v>6323.21</v>
      </c>
      <c r="H806" s="35">
        <v>0</v>
      </c>
      <c r="J806" s="35">
        <v>6323.21</v>
      </c>
    </row>
    <row r="807" spans="1:10" ht="15.95" customHeight="1" x14ac:dyDescent="0.2">
      <c r="A807" s="38" t="s">
        <v>1352</v>
      </c>
      <c r="B807" s="385" t="s">
        <v>1353</v>
      </c>
      <c r="C807" s="386"/>
      <c r="D807" s="386"/>
      <c r="E807" s="35">
        <v>0</v>
      </c>
      <c r="F807" s="35">
        <v>74.38</v>
      </c>
      <c r="H807" s="35">
        <v>0</v>
      </c>
      <c r="J807" s="35">
        <v>74.38</v>
      </c>
    </row>
    <row r="808" spans="1:10" ht="15.95" customHeight="1" x14ac:dyDescent="0.2">
      <c r="A808" s="38" t="s">
        <v>1354</v>
      </c>
      <c r="B808" s="385" t="s">
        <v>1355</v>
      </c>
      <c r="C808" s="386"/>
      <c r="D808" s="386"/>
      <c r="E808" s="35">
        <v>0</v>
      </c>
      <c r="F808" s="35">
        <v>101263.56</v>
      </c>
      <c r="H808" s="35">
        <v>9041.7900000000009</v>
      </c>
      <c r="J808" s="35">
        <v>92221.77</v>
      </c>
    </row>
    <row r="809" spans="1:10" ht="15.95" customHeight="1" x14ac:dyDescent="0.2">
      <c r="A809" s="38" t="s">
        <v>1572</v>
      </c>
      <c r="B809" s="385" t="s">
        <v>1573</v>
      </c>
      <c r="C809" s="386"/>
      <c r="D809" s="386"/>
      <c r="E809" s="35">
        <v>0</v>
      </c>
      <c r="F809" s="35">
        <v>198.71</v>
      </c>
      <c r="H809" s="35">
        <v>0</v>
      </c>
      <c r="J809" s="35">
        <v>198.71</v>
      </c>
    </row>
    <row r="810" spans="1:10" ht="15.95" customHeight="1" x14ac:dyDescent="0.2">
      <c r="A810" s="38" t="s">
        <v>1356</v>
      </c>
      <c r="B810" s="385" t="s">
        <v>200</v>
      </c>
      <c r="C810" s="386"/>
      <c r="D810" s="386"/>
      <c r="E810" s="35">
        <v>0</v>
      </c>
      <c r="F810" s="35">
        <v>96642</v>
      </c>
      <c r="H810" s="35">
        <v>0</v>
      </c>
      <c r="J810" s="35">
        <v>96642</v>
      </c>
    </row>
    <row r="811" spans="1:10" ht="15.95" customHeight="1" x14ac:dyDescent="0.2">
      <c r="A811" s="38" t="s">
        <v>1357</v>
      </c>
      <c r="B811" s="385" t="s">
        <v>1358</v>
      </c>
      <c r="C811" s="386"/>
      <c r="D811" s="386"/>
      <c r="E811" s="35">
        <v>0</v>
      </c>
      <c r="F811" s="35">
        <v>152008.9</v>
      </c>
      <c r="H811" s="35">
        <v>0</v>
      </c>
      <c r="J811" s="35">
        <v>152008.9</v>
      </c>
    </row>
    <row r="812" spans="1:10" ht="27.95" customHeight="1" x14ac:dyDescent="0.2">
      <c r="A812" s="38" t="s">
        <v>1359</v>
      </c>
      <c r="B812" s="385" t="s">
        <v>1360</v>
      </c>
      <c r="C812" s="386"/>
      <c r="D812" s="386"/>
      <c r="E812" s="35">
        <v>0</v>
      </c>
      <c r="F812" s="35">
        <v>11889.12</v>
      </c>
      <c r="H812" s="35">
        <v>325.02999999999997</v>
      </c>
      <c r="J812" s="35">
        <v>11564.09</v>
      </c>
    </row>
    <row r="813" spans="1:10" ht="15.95" customHeight="1" x14ac:dyDescent="0.2">
      <c r="A813" s="38" t="s">
        <v>1361</v>
      </c>
      <c r="B813" s="385" t="s">
        <v>1362</v>
      </c>
      <c r="C813" s="386"/>
      <c r="D813" s="386"/>
      <c r="E813" s="35">
        <v>0</v>
      </c>
      <c r="F813" s="35">
        <v>1131947.8899999999</v>
      </c>
      <c r="H813" s="35">
        <v>0</v>
      </c>
      <c r="J813" s="35">
        <v>1131947.8899999999</v>
      </c>
    </row>
    <row r="814" spans="1:10" ht="15.95" customHeight="1" x14ac:dyDescent="0.2">
      <c r="A814" s="38" t="s">
        <v>1363</v>
      </c>
      <c r="B814" s="385" t="s">
        <v>1364</v>
      </c>
      <c r="C814" s="386"/>
      <c r="D814" s="386"/>
      <c r="E814" s="35">
        <v>0</v>
      </c>
      <c r="F814" s="35">
        <v>628297.85</v>
      </c>
      <c r="H814" s="35">
        <v>0</v>
      </c>
      <c r="J814" s="35">
        <v>628297.85</v>
      </c>
    </row>
    <row r="815" spans="1:10" ht="15.95" customHeight="1" x14ac:dyDescent="0.2">
      <c r="A815" s="38" t="s">
        <v>1365</v>
      </c>
      <c r="B815" s="385" t="s">
        <v>1366</v>
      </c>
      <c r="C815" s="386"/>
      <c r="D815" s="386"/>
      <c r="E815" s="35">
        <v>0</v>
      </c>
      <c r="F815" s="35">
        <v>12565.32</v>
      </c>
      <c r="H815" s="35">
        <v>0</v>
      </c>
      <c r="J815" s="35">
        <v>12565.32</v>
      </c>
    </row>
    <row r="816" spans="1:10" ht="15.95" customHeight="1" x14ac:dyDescent="0.2">
      <c r="A816" s="38" t="s">
        <v>1367</v>
      </c>
      <c r="B816" s="385" t="s">
        <v>1368</v>
      </c>
      <c r="C816" s="386"/>
      <c r="D816" s="386"/>
      <c r="E816" s="35">
        <v>0</v>
      </c>
      <c r="F816" s="35">
        <v>22482.48</v>
      </c>
      <c r="H816" s="35">
        <v>0</v>
      </c>
      <c r="J816" s="35">
        <v>22482.48</v>
      </c>
    </row>
    <row r="817" spans="1:10" ht="15.95" customHeight="1" x14ac:dyDescent="0.2">
      <c r="A817" s="38" t="s">
        <v>1369</v>
      </c>
      <c r="B817" s="385" t="s">
        <v>1370</v>
      </c>
      <c r="C817" s="386"/>
      <c r="D817" s="386"/>
      <c r="E817" s="35">
        <v>0</v>
      </c>
      <c r="F817" s="35">
        <v>84</v>
      </c>
      <c r="H817" s="35">
        <v>0</v>
      </c>
      <c r="J817" s="35">
        <v>84</v>
      </c>
    </row>
    <row r="818" spans="1:10" ht="15.95" customHeight="1" x14ac:dyDescent="0.2">
      <c r="A818" s="38" t="s">
        <v>1371</v>
      </c>
      <c r="B818" s="385" t="s">
        <v>1372</v>
      </c>
      <c r="C818" s="386"/>
      <c r="D818" s="386"/>
      <c r="E818" s="35">
        <v>0</v>
      </c>
      <c r="F818" s="35">
        <v>6776.8</v>
      </c>
      <c r="H818" s="35">
        <v>0</v>
      </c>
      <c r="J818" s="35">
        <v>6776.8</v>
      </c>
    </row>
    <row r="819" spans="1:10" ht="15.95" customHeight="1" x14ac:dyDescent="0.2">
      <c r="A819" s="38" t="s">
        <v>1373</v>
      </c>
      <c r="B819" s="385" t="s">
        <v>202</v>
      </c>
      <c r="C819" s="386"/>
      <c r="D819" s="386"/>
      <c r="E819" s="35">
        <v>0</v>
      </c>
      <c r="F819" s="35">
        <v>46352.14</v>
      </c>
      <c r="H819" s="35">
        <v>0</v>
      </c>
      <c r="J819" s="35">
        <v>46352.14</v>
      </c>
    </row>
    <row r="820" spans="1:10" ht="15.95" customHeight="1" x14ac:dyDescent="0.2">
      <c r="A820" s="38" t="s">
        <v>1374</v>
      </c>
      <c r="B820" s="385" t="s">
        <v>1375</v>
      </c>
      <c r="C820" s="386"/>
      <c r="D820" s="386"/>
      <c r="E820" s="35">
        <v>0</v>
      </c>
      <c r="F820" s="35">
        <v>26233.61</v>
      </c>
      <c r="H820" s="35">
        <v>29.24</v>
      </c>
      <c r="J820" s="35">
        <v>26204.37</v>
      </c>
    </row>
    <row r="821" spans="1:10" ht="15.95" customHeight="1" x14ac:dyDescent="0.2">
      <c r="A821" s="38" t="s">
        <v>1376</v>
      </c>
      <c r="B821" s="385" t="s">
        <v>1377</v>
      </c>
      <c r="C821" s="386"/>
      <c r="D821" s="386"/>
      <c r="E821" s="35">
        <v>0</v>
      </c>
      <c r="F821" s="35">
        <v>394</v>
      </c>
      <c r="H821" s="35">
        <v>0</v>
      </c>
      <c r="J821" s="35">
        <v>394</v>
      </c>
    </row>
    <row r="822" spans="1:10" ht="15.95" customHeight="1" x14ac:dyDescent="0.2">
      <c r="A822" s="38">
        <v>59</v>
      </c>
      <c r="B822" s="385" t="s">
        <v>1378</v>
      </c>
      <c r="C822" s="386"/>
      <c r="D822" s="386"/>
      <c r="E822" s="35">
        <v>0</v>
      </c>
      <c r="F822" s="35">
        <v>1949585.44</v>
      </c>
      <c r="H822" s="35">
        <v>273609.46000000002</v>
      </c>
      <c r="J822" s="35">
        <v>1675975.98</v>
      </c>
    </row>
    <row r="823" spans="1:10" ht="15.95" customHeight="1" x14ac:dyDescent="0.2">
      <c r="A823" s="38">
        <v>591</v>
      </c>
      <c r="B823" s="385" t="s">
        <v>1379</v>
      </c>
      <c r="C823" s="386"/>
      <c r="D823" s="386"/>
      <c r="E823" s="35">
        <v>0</v>
      </c>
      <c r="F823" s="35">
        <v>1949585.44</v>
      </c>
      <c r="H823" s="35">
        <v>273609.46000000002</v>
      </c>
      <c r="J823" s="35">
        <v>1675975.98</v>
      </c>
    </row>
    <row r="824" spans="1:10" ht="15.95" customHeight="1" x14ac:dyDescent="0.2">
      <c r="A824" s="38">
        <v>59101</v>
      </c>
      <c r="B824" s="385" t="s">
        <v>1380</v>
      </c>
      <c r="C824" s="386"/>
      <c r="D824" s="386"/>
      <c r="E824" s="35">
        <v>0</v>
      </c>
      <c r="F824" s="35">
        <v>1949585.44</v>
      </c>
      <c r="H824" s="35">
        <v>0</v>
      </c>
      <c r="J824" s="35">
        <v>1949585.44</v>
      </c>
    </row>
    <row r="825" spans="1:10" ht="15.95" customHeight="1" x14ac:dyDescent="0.2">
      <c r="A825" s="38">
        <v>5910101</v>
      </c>
      <c r="B825" s="385" t="s">
        <v>1380</v>
      </c>
      <c r="C825" s="386"/>
      <c r="D825" s="386"/>
      <c r="E825" s="35">
        <v>0</v>
      </c>
      <c r="F825" s="35">
        <v>1949585.44</v>
      </c>
      <c r="H825" s="35">
        <v>0</v>
      </c>
      <c r="J825" s="35">
        <v>1949585.44</v>
      </c>
    </row>
    <row r="826" spans="1:10" ht="15.95" customHeight="1" x14ac:dyDescent="0.2">
      <c r="A826" s="38" t="s">
        <v>1383</v>
      </c>
      <c r="B826" s="385" t="s">
        <v>1384</v>
      </c>
      <c r="C826" s="386"/>
      <c r="D826" s="386"/>
      <c r="E826" s="35">
        <v>0</v>
      </c>
      <c r="F826" s="35">
        <v>215724.78</v>
      </c>
      <c r="H826" s="35">
        <v>0</v>
      </c>
      <c r="J826" s="35">
        <v>215724.78</v>
      </c>
    </row>
    <row r="827" spans="1:10" ht="15.95" customHeight="1" x14ac:dyDescent="0.2">
      <c r="A827" s="38" t="s">
        <v>1385</v>
      </c>
      <c r="B827" s="385" t="s">
        <v>1386</v>
      </c>
      <c r="C827" s="386"/>
      <c r="D827" s="386"/>
      <c r="E827" s="35">
        <v>0</v>
      </c>
      <c r="F827" s="35">
        <v>132902.42000000001</v>
      </c>
      <c r="H827" s="35">
        <v>0</v>
      </c>
      <c r="J827" s="35">
        <v>132902.42000000001</v>
      </c>
    </row>
    <row r="828" spans="1:10" ht="15.95" customHeight="1" x14ac:dyDescent="0.2">
      <c r="A828" s="38" t="s">
        <v>1387</v>
      </c>
      <c r="B828" s="385" t="s">
        <v>1388</v>
      </c>
      <c r="C828" s="386"/>
      <c r="D828" s="386"/>
      <c r="E828" s="35">
        <v>0</v>
      </c>
      <c r="F828" s="35">
        <v>11928.01</v>
      </c>
      <c r="H828" s="35">
        <v>0</v>
      </c>
      <c r="J828" s="35">
        <v>11928.01</v>
      </c>
    </row>
    <row r="829" spans="1:10" ht="15.95" customHeight="1" x14ac:dyDescent="0.2">
      <c r="A829" s="38" t="s">
        <v>1389</v>
      </c>
      <c r="B829" s="385" t="s">
        <v>1390</v>
      </c>
      <c r="C829" s="386"/>
      <c r="D829" s="386"/>
      <c r="E829" s="35">
        <v>0</v>
      </c>
      <c r="F829" s="35">
        <v>1586034.23</v>
      </c>
      <c r="H829" s="35">
        <v>0</v>
      </c>
      <c r="J829" s="35">
        <v>1586034.23</v>
      </c>
    </row>
    <row r="830" spans="1:10" ht="15.95" customHeight="1" x14ac:dyDescent="0.2">
      <c r="A830" s="38" t="s">
        <v>1631</v>
      </c>
      <c r="B830" s="385" t="s">
        <v>1632</v>
      </c>
      <c r="C830" s="386"/>
      <c r="D830" s="386"/>
      <c r="E830" s="35">
        <v>0</v>
      </c>
      <c r="F830" s="35">
        <v>2996</v>
      </c>
      <c r="H830" s="35">
        <v>0</v>
      </c>
      <c r="J830" s="35">
        <v>2996</v>
      </c>
    </row>
    <row r="831" spans="1:10" ht="15.95" customHeight="1" x14ac:dyDescent="0.2">
      <c r="A831" s="38">
        <v>59102</v>
      </c>
      <c r="B831" s="385" t="s">
        <v>1391</v>
      </c>
      <c r="C831" s="386"/>
      <c r="D831" s="386"/>
      <c r="E831" s="35">
        <v>0</v>
      </c>
      <c r="F831" s="35">
        <v>0</v>
      </c>
      <c r="H831" s="35">
        <v>273609.46000000002</v>
      </c>
      <c r="J831" s="35">
        <v>-273609.46000000002</v>
      </c>
    </row>
    <row r="832" spans="1:10" ht="15.95" customHeight="1" x14ac:dyDescent="0.2">
      <c r="A832" s="38">
        <v>5910201</v>
      </c>
      <c r="B832" s="385" t="s">
        <v>1391</v>
      </c>
      <c r="C832" s="386"/>
      <c r="D832" s="386"/>
      <c r="E832" s="35">
        <v>0</v>
      </c>
      <c r="F832" s="35">
        <v>0</v>
      </c>
      <c r="H832" s="35">
        <v>273609.46000000002</v>
      </c>
      <c r="J832" s="35">
        <v>-273609.46000000002</v>
      </c>
    </row>
    <row r="833" spans="1:10" ht="15.95" customHeight="1" x14ac:dyDescent="0.2">
      <c r="A833" s="38" t="s">
        <v>1574</v>
      </c>
      <c r="B833" s="385" t="s">
        <v>1575</v>
      </c>
      <c r="C833" s="386"/>
      <c r="D833" s="386"/>
      <c r="E833" s="35">
        <v>0</v>
      </c>
      <c r="F833" s="35">
        <v>0</v>
      </c>
      <c r="H833" s="35">
        <v>72.010000000000005</v>
      </c>
      <c r="J833" s="35">
        <v>-72.010000000000005</v>
      </c>
    </row>
    <row r="834" spans="1:10" ht="15.95" customHeight="1" x14ac:dyDescent="0.2">
      <c r="A834" s="38" t="s">
        <v>1392</v>
      </c>
      <c r="B834" s="385" t="s">
        <v>1393</v>
      </c>
      <c r="C834" s="386"/>
      <c r="D834" s="386"/>
      <c r="E834" s="35">
        <v>0</v>
      </c>
      <c r="F834" s="35">
        <v>0</v>
      </c>
      <c r="H834" s="35">
        <v>192128.17</v>
      </c>
      <c r="J834" s="35">
        <v>-192128.17</v>
      </c>
    </row>
    <row r="835" spans="1:10" ht="15.95" customHeight="1" x14ac:dyDescent="0.2">
      <c r="A835" s="38" t="s">
        <v>1576</v>
      </c>
      <c r="B835" s="385" t="s">
        <v>1577</v>
      </c>
      <c r="C835" s="386"/>
      <c r="D835" s="386"/>
      <c r="E835" s="35">
        <v>0</v>
      </c>
      <c r="F835" s="35">
        <v>0</v>
      </c>
      <c r="H835" s="35">
        <v>938.87</v>
      </c>
      <c r="J835" s="35">
        <v>-938.87</v>
      </c>
    </row>
    <row r="836" spans="1:10" ht="15.95" customHeight="1" x14ac:dyDescent="0.2">
      <c r="A836" s="38" t="s">
        <v>1394</v>
      </c>
      <c r="B836" s="385" t="s">
        <v>1395</v>
      </c>
      <c r="C836" s="386"/>
      <c r="D836" s="386"/>
      <c r="E836" s="35">
        <v>0</v>
      </c>
      <c r="F836" s="35">
        <v>0</v>
      </c>
      <c r="H836" s="35">
        <v>65333.75</v>
      </c>
      <c r="J836" s="35">
        <v>-65333.75</v>
      </c>
    </row>
    <row r="837" spans="1:10" ht="15.95" customHeight="1" x14ac:dyDescent="0.2">
      <c r="A837" s="38" t="s">
        <v>1396</v>
      </c>
      <c r="B837" s="385" t="s">
        <v>1397</v>
      </c>
      <c r="C837" s="386"/>
      <c r="D837" s="386"/>
      <c r="E837" s="35">
        <v>0</v>
      </c>
      <c r="F837" s="35">
        <v>0</v>
      </c>
      <c r="H837" s="35">
        <v>14402.04</v>
      </c>
      <c r="J837" s="35">
        <v>-14402.04</v>
      </c>
    </row>
    <row r="838" spans="1:10" ht="15.95" customHeight="1" x14ac:dyDescent="0.2">
      <c r="A838" s="38" t="s">
        <v>1578</v>
      </c>
      <c r="B838" s="385" t="s">
        <v>1579</v>
      </c>
      <c r="C838" s="386"/>
      <c r="D838" s="386"/>
      <c r="E838" s="35">
        <v>0</v>
      </c>
      <c r="F838" s="35">
        <v>0</v>
      </c>
      <c r="H838" s="35">
        <v>734.62</v>
      </c>
      <c r="J838" s="35">
        <v>-734.62</v>
      </c>
    </row>
    <row r="839" spans="1:10" ht="15.95" customHeight="1" x14ac:dyDescent="0.2">
      <c r="A839" s="38">
        <v>6</v>
      </c>
      <c r="B839" s="385" t="s">
        <v>1400</v>
      </c>
      <c r="C839" s="386"/>
      <c r="D839" s="386"/>
      <c r="E839" s="35">
        <v>0</v>
      </c>
      <c r="F839" s="35">
        <v>294386.75</v>
      </c>
      <c r="H839" s="35">
        <v>539407.93999999994</v>
      </c>
      <c r="J839" s="35">
        <v>-245021.19</v>
      </c>
    </row>
    <row r="840" spans="1:10" ht="15.95" customHeight="1" x14ac:dyDescent="0.2">
      <c r="A840" s="38">
        <v>62</v>
      </c>
      <c r="B840" s="385" t="s">
        <v>1401</v>
      </c>
      <c r="C840" s="386"/>
      <c r="D840" s="386"/>
      <c r="E840" s="35">
        <v>0</v>
      </c>
      <c r="F840" s="35">
        <v>294386.75</v>
      </c>
      <c r="H840" s="35">
        <v>539407.93999999994</v>
      </c>
      <c r="J840" s="35">
        <v>-245021.19</v>
      </c>
    </row>
    <row r="841" spans="1:10" ht="15.95" customHeight="1" x14ac:dyDescent="0.2">
      <c r="A841" s="38">
        <v>621</v>
      </c>
      <c r="B841" s="385" t="s">
        <v>1402</v>
      </c>
      <c r="C841" s="386"/>
      <c r="D841" s="386"/>
      <c r="E841" s="35">
        <v>0</v>
      </c>
      <c r="F841" s="35">
        <v>0</v>
      </c>
      <c r="H841" s="35">
        <v>256268.08</v>
      </c>
      <c r="J841" s="35">
        <v>-256268.08</v>
      </c>
    </row>
    <row r="842" spans="1:10" ht="15.95" customHeight="1" x14ac:dyDescent="0.2">
      <c r="A842" s="38">
        <v>62101</v>
      </c>
      <c r="B842" s="385" t="s">
        <v>1403</v>
      </c>
      <c r="C842" s="386"/>
      <c r="D842" s="386"/>
      <c r="E842" s="35">
        <v>0</v>
      </c>
      <c r="F842" s="35">
        <v>0</v>
      </c>
      <c r="H842" s="35">
        <v>256268.08</v>
      </c>
      <c r="J842" s="35">
        <v>-256268.08</v>
      </c>
    </row>
    <row r="843" spans="1:10" ht="15.95" customHeight="1" x14ac:dyDescent="0.2">
      <c r="A843" s="38">
        <v>6210101</v>
      </c>
      <c r="B843" s="385" t="s">
        <v>1404</v>
      </c>
      <c r="C843" s="386"/>
      <c r="D843" s="386"/>
      <c r="E843" s="35">
        <v>0</v>
      </c>
      <c r="F843" s="35">
        <v>0</v>
      </c>
      <c r="H843" s="35">
        <v>256268.08</v>
      </c>
      <c r="J843" s="35">
        <v>-256268.08</v>
      </c>
    </row>
    <row r="844" spans="1:10" ht="15.95" customHeight="1" x14ac:dyDescent="0.2">
      <c r="A844" s="38" t="s">
        <v>1405</v>
      </c>
      <c r="B844" s="385" t="s">
        <v>1406</v>
      </c>
      <c r="C844" s="386"/>
      <c r="D844" s="386"/>
      <c r="E844" s="35">
        <v>0</v>
      </c>
      <c r="F844" s="35">
        <v>0</v>
      </c>
      <c r="H844" s="35">
        <v>25624.15</v>
      </c>
      <c r="J844" s="35">
        <v>-25624.15</v>
      </c>
    </row>
    <row r="845" spans="1:10" ht="15.95" customHeight="1" x14ac:dyDescent="0.2">
      <c r="A845" s="38" t="s">
        <v>1580</v>
      </c>
      <c r="B845" s="385" t="s">
        <v>1581</v>
      </c>
      <c r="C845" s="386"/>
      <c r="D845" s="386"/>
      <c r="E845" s="35">
        <v>0</v>
      </c>
      <c r="F845" s="35">
        <v>0</v>
      </c>
      <c r="H845" s="35">
        <v>42706.09</v>
      </c>
      <c r="J845" s="35">
        <v>-42706.09</v>
      </c>
    </row>
    <row r="846" spans="1:10" ht="15.95" customHeight="1" x14ac:dyDescent="0.2">
      <c r="A846" s="38" t="s">
        <v>1407</v>
      </c>
      <c r="B846" s="385" t="s">
        <v>1403</v>
      </c>
      <c r="C846" s="386"/>
      <c r="D846" s="386"/>
      <c r="E846" s="35">
        <v>0</v>
      </c>
      <c r="F846" s="35">
        <v>0</v>
      </c>
      <c r="H846" s="35">
        <v>142915.19</v>
      </c>
      <c r="J846" s="35">
        <v>-142915.19</v>
      </c>
    </row>
    <row r="847" spans="1:10" ht="15.95" customHeight="1" x14ac:dyDescent="0.2">
      <c r="A847" s="38" t="s">
        <v>1582</v>
      </c>
      <c r="B847" s="385" t="s">
        <v>1583</v>
      </c>
      <c r="C847" s="386"/>
      <c r="D847" s="386"/>
      <c r="E847" s="35">
        <v>0</v>
      </c>
      <c r="F847" s="35">
        <v>0</v>
      </c>
      <c r="H847" s="35">
        <v>45022.65</v>
      </c>
      <c r="J847" s="35">
        <v>-45022.65</v>
      </c>
    </row>
    <row r="848" spans="1:10" ht="15.95" customHeight="1" x14ac:dyDescent="0.2">
      <c r="A848" s="38">
        <v>624</v>
      </c>
      <c r="B848" s="385" t="s">
        <v>1410</v>
      </c>
      <c r="C848" s="386"/>
      <c r="D848" s="386"/>
      <c r="E848" s="35">
        <v>0</v>
      </c>
      <c r="F848" s="35">
        <v>114901.16</v>
      </c>
      <c r="H848" s="35">
        <v>178092.19</v>
      </c>
      <c r="J848" s="35">
        <v>-63191.03</v>
      </c>
    </row>
    <row r="849" spans="1:10" ht="15.95" customHeight="1" x14ac:dyDescent="0.2">
      <c r="A849" s="38">
        <v>62401</v>
      </c>
      <c r="B849" s="385" t="s">
        <v>1410</v>
      </c>
      <c r="C849" s="386"/>
      <c r="D849" s="386"/>
      <c r="E849" s="35">
        <v>0</v>
      </c>
      <c r="F849" s="35">
        <v>114901.16</v>
      </c>
      <c r="H849" s="35">
        <v>178092.19</v>
      </c>
      <c r="J849" s="35">
        <v>-63191.03</v>
      </c>
    </row>
    <row r="850" spans="1:10" ht="15.95" customHeight="1" x14ac:dyDescent="0.2">
      <c r="A850" s="38">
        <v>6240101</v>
      </c>
      <c r="B850" s="385" t="s">
        <v>1410</v>
      </c>
      <c r="C850" s="386"/>
      <c r="D850" s="386"/>
      <c r="E850" s="35">
        <v>0</v>
      </c>
      <c r="F850" s="35">
        <v>114901.16</v>
      </c>
      <c r="H850" s="35">
        <v>178092.19</v>
      </c>
      <c r="J850" s="35">
        <v>-63191.03</v>
      </c>
    </row>
    <row r="851" spans="1:10" ht="15.95" customHeight="1" x14ac:dyDescent="0.2">
      <c r="A851" s="38" t="s">
        <v>1584</v>
      </c>
      <c r="B851" s="385" t="s">
        <v>1585</v>
      </c>
      <c r="C851" s="386"/>
      <c r="D851" s="386"/>
      <c r="E851" s="35">
        <v>0</v>
      </c>
      <c r="F851" s="35">
        <v>114901.16</v>
      </c>
      <c r="H851" s="35">
        <v>178092.19</v>
      </c>
      <c r="J851" s="35">
        <v>-63191.03</v>
      </c>
    </row>
    <row r="852" spans="1:10" ht="15.95" customHeight="1" x14ac:dyDescent="0.2">
      <c r="A852" s="38">
        <v>625</v>
      </c>
      <c r="B852" s="385" t="s">
        <v>1413</v>
      </c>
      <c r="C852" s="386"/>
      <c r="D852" s="386"/>
      <c r="E852" s="35">
        <v>0</v>
      </c>
      <c r="F852" s="35">
        <v>179485.59</v>
      </c>
      <c r="H852" s="35">
        <v>105047.67</v>
      </c>
      <c r="J852" s="35">
        <v>74437.919999999998</v>
      </c>
    </row>
    <row r="853" spans="1:10" ht="15.95" customHeight="1" x14ac:dyDescent="0.2">
      <c r="A853" s="38">
        <v>62501</v>
      </c>
      <c r="B853" s="385" t="s">
        <v>1413</v>
      </c>
      <c r="C853" s="386"/>
      <c r="D853" s="386"/>
      <c r="E853" s="35">
        <v>0</v>
      </c>
      <c r="F853" s="35">
        <v>179485.59</v>
      </c>
      <c r="H853" s="35">
        <v>105047.67</v>
      </c>
      <c r="J853" s="35">
        <v>74437.919999999998</v>
      </c>
    </row>
    <row r="854" spans="1:10" ht="15.95" customHeight="1" x14ac:dyDescent="0.2">
      <c r="A854" s="38">
        <v>6250101</v>
      </c>
      <c r="B854" s="385" t="s">
        <v>1414</v>
      </c>
      <c r="C854" s="386"/>
      <c r="D854" s="386"/>
      <c r="E854" s="35">
        <v>0</v>
      </c>
      <c r="F854" s="35">
        <v>179485.59</v>
      </c>
      <c r="H854" s="35">
        <v>105047.67</v>
      </c>
      <c r="J854" s="35">
        <v>74437.919999999998</v>
      </c>
    </row>
    <row r="855" spans="1:10" ht="15.95" customHeight="1" x14ac:dyDescent="0.2">
      <c r="A855" s="38" t="s">
        <v>1415</v>
      </c>
      <c r="B855" s="385" t="s">
        <v>1416</v>
      </c>
      <c r="C855" s="386"/>
      <c r="D855" s="386"/>
      <c r="E855" s="35">
        <v>0</v>
      </c>
      <c r="F855" s="35">
        <v>169755.62</v>
      </c>
      <c r="H855" s="35">
        <v>105047.67</v>
      </c>
      <c r="J855" s="35">
        <v>64707.95</v>
      </c>
    </row>
    <row r="856" spans="1:10" ht="15.95" customHeight="1" x14ac:dyDescent="0.2">
      <c r="A856" s="38" t="s">
        <v>1417</v>
      </c>
      <c r="B856" s="385" t="s">
        <v>1418</v>
      </c>
      <c r="C856" s="386"/>
      <c r="D856" s="386"/>
      <c r="E856" s="35">
        <v>0</v>
      </c>
      <c r="F856" s="35">
        <v>9729.9699999999993</v>
      </c>
      <c r="H856" s="35">
        <v>0</v>
      </c>
      <c r="J856" s="35">
        <v>9729.9699999999993</v>
      </c>
    </row>
    <row r="857" spans="1:10" ht="15.95" customHeight="1" x14ac:dyDescent="0.2">
      <c r="A857" s="38">
        <v>7</v>
      </c>
      <c r="B857" s="385" t="s">
        <v>1586</v>
      </c>
      <c r="C857" s="386"/>
      <c r="D857" s="386"/>
      <c r="E857" s="35">
        <v>0</v>
      </c>
      <c r="F857" s="35">
        <v>5663856.9400000004</v>
      </c>
      <c r="H857" s="35">
        <v>1113623.3999999999</v>
      </c>
      <c r="J857" s="35">
        <v>4550233.54</v>
      </c>
    </row>
    <row r="858" spans="1:10" ht="15.95" customHeight="1" x14ac:dyDescent="0.2">
      <c r="A858" s="38">
        <v>71</v>
      </c>
      <c r="B858" s="385" t="s">
        <v>1586</v>
      </c>
      <c r="C858" s="386"/>
      <c r="D858" s="386"/>
      <c r="E858" s="35">
        <v>0</v>
      </c>
      <c r="F858" s="35">
        <v>5663856.9400000004</v>
      </c>
      <c r="H858" s="35">
        <v>1113623.3999999999</v>
      </c>
      <c r="J858" s="35">
        <v>4550233.54</v>
      </c>
    </row>
    <row r="859" spans="1:10" ht="15.95" customHeight="1" x14ac:dyDescent="0.2">
      <c r="A859" s="38">
        <v>712</v>
      </c>
      <c r="B859" s="385" t="s">
        <v>1587</v>
      </c>
      <c r="C859" s="386"/>
      <c r="D859" s="386"/>
      <c r="E859" s="35">
        <v>0</v>
      </c>
      <c r="F859" s="35">
        <v>5663856.9400000004</v>
      </c>
      <c r="H859" s="35">
        <v>1113623.3999999999</v>
      </c>
      <c r="J859" s="35">
        <v>4550233.54</v>
      </c>
    </row>
    <row r="860" spans="1:10" ht="15.95" customHeight="1" x14ac:dyDescent="0.2">
      <c r="A860" s="38">
        <v>71201</v>
      </c>
      <c r="B860" s="385" t="s">
        <v>1588</v>
      </c>
      <c r="C860" s="386"/>
      <c r="D860" s="386"/>
      <c r="E860" s="35">
        <v>0</v>
      </c>
      <c r="F860" s="35">
        <v>5663856.9400000004</v>
      </c>
      <c r="H860" s="35">
        <v>1113623.3999999999</v>
      </c>
      <c r="J860" s="35">
        <v>4550233.54</v>
      </c>
    </row>
    <row r="861" spans="1:10" ht="15.95" customHeight="1" x14ac:dyDescent="0.2">
      <c r="A861" s="38">
        <v>7120101</v>
      </c>
      <c r="B861" s="385" t="s">
        <v>1588</v>
      </c>
      <c r="C861" s="386"/>
      <c r="D861" s="386"/>
      <c r="E861" s="35">
        <v>0</v>
      </c>
      <c r="F861" s="35">
        <v>5663856.9400000004</v>
      </c>
      <c r="H861" s="35">
        <v>1113623.3999999999</v>
      </c>
      <c r="J861" s="35">
        <v>4550233.54</v>
      </c>
    </row>
    <row r="862" spans="1:10" ht="15.95" customHeight="1" x14ac:dyDescent="0.2">
      <c r="A862" s="38" t="s">
        <v>1589</v>
      </c>
      <c r="B862" s="385" t="s">
        <v>1590</v>
      </c>
      <c r="C862" s="386"/>
      <c r="D862" s="386"/>
      <c r="E862" s="35">
        <v>0</v>
      </c>
      <c r="F862" s="35">
        <v>5663856.9400000004</v>
      </c>
      <c r="H862" s="35">
        <v>1113623.3999999999</v>
      </c>
      <c r="J862" s="35">
        <v>4550233.54</v>
      </c>
    </row>
    <row r="863" spans="1:10" ht="15.95" customHeight="1" x14ac:dyDescent="0.2">
      <c r="A863" s="38">
        <v>9</v>
      </c>
      <c r="B863" s="385" t="s">
        <v>1419</v>
      </c>
      <c r="C863" s="386"/>
      <c r="D863" s="386"/>
      <c r="E863" s="35">
        <v>0</v>
      </c>
      <c r="F863" s="35">
        <v>0</v>
      </c>
      <c r="H863" s="35">
        <v>16295158.73</v>
      </c>
      <c r="J863" s="35">
        <v>-16295158.73</v>
      </c>
    </row>
    <row r="864" spans="1:10" ht="15.95" customHeight="1" x14ac:dyDescent="0.2">
      <c r="A864" s="38">
        <v>91</v>
      </c>
      <c r="B864" s="385" t="s">
        <v>1420</v>
      </c>
      <c r="C864" s="386"/>
      <c r="D864" s="386"/>
      <c r="E864" s="35">
        <v>0</v>
      </c>
      <c r="F864" s="35">
        <v>0</v>
      </c>
      <c r="H864" s="35">
        <v>16295158.73</v>
      </c>
      <c r="J864" s="35">
        <v>-16295158.73</v>
      </c>
    </row>
    <row r="865" spans="1:10" ht="15.95" customHeight="1" x14ac:dyDescent="0.2">
      <c r="A865" s="38">
        <v>911</v>
      </c>
      <c r="B865" s="385" t="s">
        <v>1421</v>
      </c>
      <c r="C865" s="386"/>
      <c r="D865" s="386"/>
      <c r="E865" s="35">
        <v>0</v>
      </c>
      <c r="F865" s="35">
        <v>0</v>
      </c>
      <c r="H865" s="35">
        <v>16295158.73</v>
      </c>
      <c r="J865" s="35">
        <v>-16295158.73</v>
      </c>
    </row>
    <row r="866" spans="1:10" ht="27.95" customHeight="1" x14ac:dyDescent="0.2">
      <c r="A866" s="38">
        <v>91101</v>
      </c>
      <c r="B866" s="385" t="s">
        <v>1110</v>
      </c>
      <c r="C866" s="386"/>
      <c r="D866" s="386"/>
      <c r="E866" s="35">
        <v>0</v>
      </c>
      <c r="F866" s="35">
        <v>0</v>
      </c>
      <c r="H866" s="35">
        <v>16295158.73</v>
      </c>
      <c r="J866" s="35">
        <v>-16295158.73</v>
      </c>
    </row>
    <row r="867" spans="1:10" ht="15.95" customHeight="1" x14ac:dyDescent="0.2">
      <c r="A867" s="38">
        <v>9110101</v>
      </c>
      <c r="B867" s="385" t="s">
        <v>1110</v>
      </c>
      <c r="C867" s="386"/>
      <c r="D867" s="386"/>
      <c r="E867" s="35">
        <v>0</v>
      </c>
      <c r="F867" s="35">
        <v>0</v>
      </c>
      <c r="H867" s="35">
        <v>16295158.73</v>
      </c>
      <c r="J867" s="35">
        <v>-16295158.73</v>
      </c>
    </row>
    <row r="868" spans="1:10" ht="17.100000000000001" customHeight="1" x14ac:dyDescent="0.2">
      <c r="A868" s="38" t="s">
        <v>1422</v>
      </c>
      <c r="B868" s="385" t="s">
        <v>1110</v>
      </c>
      <c r="C868" s="386"/>
      <c r="D868" s="386"/>
      <c r="E868" s="35">
        <v>0</v>
      </c>
      <c r="F868" s="35">
        <v>0</v>
      </c>
      <c r="H868" s="35">
        <v>16295158.73</v>
      </c>
      <c r="J868" s="35">
        <v>-16295158.73</v>
      </c>
    </row>
  </sheetData>
  <autoFilter ref="A1:J868"/>
  <mergeCells count="866">
    <mergeCell ref="B3:D3"/>
    <mergeCell ref="B4:D4"/>
    <mergeCell ref="B5:D5"/>
    <mergeCell ref="B6:D6"/>
    <mergeCell ref="B7:D7"/>
    <mergeCell ref="B8:D8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51" customWidth="1"/>
    <col min="2" max="2" width="12.5703125" style="51" customWidth="1"/>
    <col min="3" max="3" width="12.5703125" style="51" hidden="1" customWidth="1"/>
    <col min="4" max="4" width="2.140625" style="51" hidden="1" customWidth="1"/>
    <col min="5" max="5" width="12.5703125" style="51" hidden="1" customWidth="1"/>
    <col min="6" max="6" width="2.28515625" style="51" customWidth="1"/>
    <col min="7" max="7" width="14.5703125" style="51" customWidth="1"/>
    <col min="8" max="8" width="2.7109375" style="51" customWidth="1"/>
    <col min="9" max="9" width="14.5703125" style="51" customWidth="1"/>
    <col min="10" max="10" width="2.28515625" style="51" customWidth="1"/>
    <col min="11" max="11" width="14.5703125" style="51" customWidth="1"/>
    <col min="12" max="12" width="2.28515625" style="51" customWidth="1"/>
    <col min="13" max="13" width="12.7109375" style="51" bestFit="1" customWidth="1"/>
    <col min="14" max="14" width="2.7109375" style="51" customWidth="1"/>
    <col min="15" max="16" width="11.42578125" style="51"/>
    <col min="17" max="17" width="13" style="51" bestFit="1" customWidth="1"/>
    <col min="18" max="225" width="11.42578125" style="51"/>
    <col min="226" max="226" width="44.85546875" style="51" customWidth="1"/>
    <col min="227" max="227" width="12.5703125" style="51" customWidth="1"/>
    <col min="228" max="230" width="0" style="51" hidden="1" customWidth="1"/>
    <col min="231" max="233" width="2.28515625" style="51" customWidth="1"/>
    <col min="234" max="234" width="14.5703125" style="51" customWidth="1"/>
    <col min="235" max="235" width="2.28515625" style="51" customWidth="1"/>
    <col min="236" max="236" width="14.5703125" style="51" customWidth="1"/>
    <col min="237" max="237" width="2.28515625" style="51" customWidth="1"/>
    <col min="238" max="481" width="11.42578125" style="51"/>
    <col min="482" max="482" width="44.85546875" style="51" customWidth="1"/>
    <col min="483" max="483" width="12.5703125" style="51" customWidth="1"/>
    <col min="484" max="486" width="0" style="51" hidden="1" customWidth="1"/>
    <col min="487" max="489" width="2.28515625" style="51" customWidth="1"/>
    <col min="490" max="490" width="14.5703125" style="51" customWidth="1"/>
    <col min="491" max="491" width="2.28515625" style="51" customWidth="1"/>
    <col min="492" max="492" width="14.5703125" style="51" customWidth="1"/>
    <col min="493" max="493" width="2.28515625" style="51" customWidth="1"/>
    <col min="494" max="737" width="11.42578125" style="51"/>
    <col min="738" max="738" width="44.85546875" style="51" customWidth="1"/>
    <col min="739" max="739" width="12.5703125" style="51" customWidth="1"/>
    <col min="740" max="742" width="0" style="51" hidden="1" customWidth="1"/>
    <col min="743" max="745" width="2.28515625" style="51" customWidth="1"/>
    <col min="746" max="746" width="14.5703125" style="51" customWidth="1"/>
    <col min="747" max="747" width="2.28515625" style="51" customWidth="1"/>
    <col min="748" max="748" width="14.5703125" style="51" customWidth="1"/>
    <col min="749" max="749" width="2.28515625" style="51" customWidth="1"/>
    <col min="750" max="993" width="11.42578125" style="51"/>
    <col min="994" max="994" width="44.85546875" style="51" customWidth="1"/>
    <col min="995" max="995" width="12.5703125" style="51" customWidth="1"/>
    <col min="996" max="998" width="0" style="51" hidden="1" customWidth="1"/>
    <col min="999" max="1001" width="2.28515625" style="51" customWidth="1"/>
    <col min="1002" max="1002" width="14.5703125" style="51" customWidth="1"/>
    <col min="1003" max="1003" width="2.28515625" style="51" customWidth="1"/>
    <col min="1004" max="1004" width="14.5703125" style="51" customWidth="1"/>
    <col min="1005" max="1005" width="2.28515625" style="51" customWidth="1"/>
    <col min="1006" max="1249" width="11.42578125" style="51"/>
    <col min="1250" max="1250" width="44.85546875" style="51" customWidth="1"/>
    <col min="1251" max="1251" width="12.5703125" style="51" customWidth="1"/>
    <col min="1252" max="1254" width="0" style="51" hidden="1" customWidth="1"/>
    <col min="1255" max="1257" width="2.28515625" style="51" customWidth="1"/>
    <col min="1258" max="1258" width="14.5703125" style="51" customWidth="1"/>
    <col min="1259" max="1259" width="2.28515625" style="51" customWidth="1"/>
    <col min="1260" max="1260" width="14.5703125" style="51" customWidth="1"/>
    <col min="1261" max="1261" width="2.28515625" style="51" customWidth="1"/>
    <col min="1262" max="1505" width="11.42578125" style="51"/>
    <col min="1506" max="1506" width="44.85546875" style="51" customWidth="1"/>
    <col min="1507" max="1507" width="12.5703125" style="51" customWidth="1"/>
    <col min="1508" max="1510" width="0" style="51" hidden="1" customWidth="1"/>
    <col min="1511" max="1513" width="2.28515625" style="51" customWidth="1"/>
    <col min="1514" max="1514" width="14.5703125" style="51" customWidth="1"/>
    <col min="1515" max="1515" width="2.28515625" style="51" customWidth="1"/>
    <col min="1516" max="1516" width="14.5703125" style="51" customWidth="1"/>
    <col min="1517" max="1517" width="2.28515625" style="51" customWidth="1"/>
    <col min="1518" max="1761" width="11.42578125" style="51"/>
    <col min="1762" max="1762" width="44.85546875" style="51" customWidth="1"/>
    <col min="1763" max="1763" width="12.5703125" style="51" customWidth="1"/>
    <col min="1764" max="1766" width="0" style="51" hidden="1" customWidth="1"/>
    <col min="1767" max="1769" width="2.28515625" style="51" customWidth="1"/>
    <col min="1770" max="1770" width="14.5703125" style="51" customWidth="1"/>
    <col min="1771" max="1771" width="2.28515625" style="51" customWidth="1"/>
    <col min="1772" max="1772" width="14.5703125" style="51" customWidth="1"/>
    <col min="1773" max="1773" width="2.28515625" style="51" customWidth="1"/>
    <col min="1774" max="2017" width="11.42578125" style="51"/>
    <col min="2018" max="2018" width="44.85546875" style="51" customWidth="1"/>
    <col min="2019" max="2019" width="12.5703125" style="51" customWidth="1"/>
    <col min="2020" max="2022" width="0" style="51" hidden="1" customWidth="1"/>
    <col min="2023" max="2025" width="2.28515625" style="51" customWidth="1"/>
    <col min="2026" max="2026" width="14.5703125" style="51" customWidth="1"/>
    <col min="2027" max="2027" width="2.28515625" style="51" customWidth="1"/>
    <col min="2028" max="2028" width="14.5703125" style="51" customWidth="1"/>
    <col min="2029" max="2029" width="2.28515625" style="51" customWidth="1"/>
    <col min="2030" max="2273" width="11.42578125" style="51"/>
    <col min="2274" max="2274" width="44.85546875" style="51" customWidth="1"/>
    <col min="2275" max="2275" width="12.5703125" style="51" customWidth="1"/>
    <col min="2276" max="2278" width="0" style="51" hidden="1" customWidth="1"/>
    <col min="2279" max="2281" width="2.28515625" style="51" customWidth="1"/>
    <col min="2282" max="2282" width="14.5703125" style="51" customWidth="1"/>
    <col min="2283" max="2283" width="2.28515625" style="51" customWidth="1"/>
    <col min="2284" max="2284" width="14.5703125" style="51" customWidth="1"/>
    <col min="2285" max="2285" width="2.28515625" style="51" customWidth="1"/>
    <col min="2286" max="2529" width="11.42578125" style="51"/>
    <col min="2530" max="2530" width="44.85546875" style="51" customWidth="1"/>
    <col min="2531" max="2531" width="12.5703125" style="51" customWidth="1"/>
    <col min="2532" max="2534" width="0" style="51" hidden="1" customWidth="1"/>
    <col min="2535" max="2537" width="2.28515625" style="51" customWidth="1"/>
    <col min="2538" max="2538" width="14.5703125" style="51" customWidth="1"/>
    <col min="2539" max="2539" width="2.28515625" style="51" customWidth="1"/>
    <col min="2540" max="2540" width="14.5703125" style="51" customWidth="1"/>
    <col min="2541" max="2541" width="2.28515625" style="51" customWidth="1"/>
    <col min="2542" max="2785" width="11.42578125" style="51"/>
    <col min="2786" max="2786" width="44.85546875" style="51" customWidth="1"/>
    <col min="2787" max="2787" width="12.5703125" style="51" customWidth="1"/>
    <col min="2788" max="2790" width="0" style="51" hidden="1" customWidth="1"/>
    <col min="2791" max="2793" width="2.28515625" style="51" customWidth="1"/>
    <col min="2794" max="2794" width="14.5703125" style="51" customWidth="1"/>
    <col min="2795" max="2795" width="2.28515625" style="51" customWidth="1"/>
    <col min="2796" max="2796" width="14.5703125" style="51" customWidth="1"/>
    <col min="2797" max="2797" width="2.28515625" style="51" customWidth="1"/>
    <col min="2798" max="3041" width="11.42578125" style="51"/>
    <col min="3042" max="3042" width="44.85546875" style="51" customWidth="1"/>
    <col min="3043" max="3043" width="12.5703125" style="51" customWidth="1"/>
    <col min="3044" max="3046" width="0" style="51" hidden="1" customWidth="1"/>
    <col min="3047" max="3049" width="2.28515625" style="51" customWidth="1"/>
    <col min="3050" max="3050" width="14.5703125" style="51" customWidth="1"/>
    <col min="3051" max="3051" width="2.28515625" style="51" customWidth="1"/>
    <col min="3052" max="3052" width="14.5703125" style="51" customWidth="1"/>
    <col min="3053" max="3053" width="2.28515625" style="51" customWidth="1"/>
    <col min="3054" max="3297" width="11.42578125" style="51"/>
    <col min="3298" max="3298" width="44.85546875" style="51" customWidth="1"/>
    <col min="3299" max="3299" width="12.5703125" style="51" customWidth="1"/>
    <col min="3300" max="3302" width="0" style="51" hidden="1" customWidth="1"/>
    <col min="3303" max="3305" width="2.28515625" style="51" customWidth="1"/>
    <col min="3306" max="3306" width="14.5703125" style="51" customWidth="1"/>
    <col min="3307" max="3307" width="2.28515625" style="51" customWidth="1"/>
    <col min="3308" max="3308" width="14.5703125" style="51" customWidth="1"/>
    <col min="3309" max="3309" width="2.28515625" style="51" customWidth="1"/>
    <col min="3310" max="3553" width="11.42578125" style="51"/>
    <col min="3554" max="3554" width="44.85546875" style="51" customWidth="1"/>
    <col min="3555" max="3555" width="12.5703125" style="51" customWidth="1"/>
    <col min="3556" max="3558" width="0" style="51" hidden="1" customWidth="1"/>
    <col min="3559" max="3561" width="2.28515625" style="51" customWidth="1"/>
    <col min="3562" max="3562" width="14.5703125" style="51" customWidth="1"/>
    <col min="3563" max="3563" width="2.28515625" style="51" customWidth="1"/>
    <col min="3564" max="3564" width="14.5703125" style="51" customWidth="1"/>
    <col min="3565" max="3565" width="2.28515625" style="51" customWidth="1"/>
    <col min="3566" max="3809" width="11.42578125" style="51"/>
    <col min="3810" max="3810" width="44.85546875" style="51" customWidth="1"/>
    <col min="3811" max="3811" width="12.5703125" style="51" customWidth="1"/>
    <col min="3812" max="3814" width="0" style="51" hidden="1" customWidth="1"/>
    <col min="3815" max="3817" width="2.28515625" style="51" customWidth="1"/>
    <col min="3818" max="3818" width="14.5703125" style="51" customWidth="1"/>
    <col min="3819" max="3819" width="2.28515625" style="51" customWidth="1"/>
    <col min="3820" max="3820" width="14.5703125" style="51" customWidth="1"/>
    <col min="3821" max="3821" width="2.28515625" style="51" customWidth="1"/>
    <col min="3822" max="4065" width="11.42578125" style="51"/>
    <col min="4066" max="4066" width="44.85546875" style="51" customWidth="1"/>
    <col min="4067" max="4067" width="12.5703125" style="51" customWidth="1"/>
    <col min="4068" max="4070" width="0" style="51" hidden="1" customWidth="1"/>
    <col min="4071" max="4073" width="2.28515625" style="51" customWidth="1"/>
    <col min="4074" max="4074" width="14.5703125" style="51" customWidth="1"/>
    <col min="4075" max="4075" width="2.28515625" style="51" customWidth="1"/>
    <col min="4076" max="4076" width="14.5703125" style="51" customWidth="1"/>
    <col min="4077" max="4077" width="2.28515625" style="51" customWidth="1"/>
    <col min="4078" max="4321" width="11.42578125" style="51"/>
    <col min="4322" max="4322" width="44.85546875" style="51" customWidth="1"/>
    <col min="4323" max="4323" width="12.5703125" style="51" customWidth="1"/>
    <col min="4324" max="4326" width="0" style="51" hidden="1" customWidth="1"/>
    <col min="4327" max="4329" width="2.28515625" style="51" customWidth="1"/>
    <col min="4330" max="4330" width="14.5703125" style="51" customWidth="1"/>
    <col min="4331" max="4331" width="2.28515625" style="51" customWidth="1"/>
    <col min="4332" max="4332" width="14.5703125" style="51" customWidth="1"/>
    <col min="4333" max="4333" width="2.28515625" style="51" customWidth="1"/>
    <col min="4334" max="4577" width="11.42578125" style="51"/>
    <col min="4578" max="4578" width="44.85546875" style="51" customWidth="1"/>
    <col min="4579" max="4579" width="12.5703125" style="51" customWidth="1"/>
    <col min="4580" max="4582" width="0" style="51" hidden="1" customWidth="1"/>
    <col min="4583" max="4585" width="2.28515625" style="51" customWidth="1"/>
    <col min="4586" max="4586" width="14.5703125" style="51" customWidth="1"/>
    <col min="4587" max="4587" width="2.28515625" style="51" customWidth="1"/>
    <col min="4588" max="4588" width="14.5703125" style="51" customWidth="1"/>
    <col min="4589" max="4589" width="2.28515625" style="51" customWidth="1"/>
    <col min="4590" max="4833" width="11.42578125" style="51"/>
    <col min="4834" max="4834" width="44.85546875" style="51" customWidth="1"/>
    <col min="4835" max="4835" width="12.5703125" style="51" customWidth="1"/>
    <col min="4836" max="4838" width="0" style="51" hidden="1" customWidth="1"/>
    <col min="4839" max="4841" width="2.28515625" style="51" customWidth="1"/>
    <col min="4842" max="4842" width="14.5703125" style="51" customWidth="1"/>
    <col min="4843" max="4843" width="2.28515625" style="51" customWidth="1"/>
    <col min="4844" max="4844" width="14.5703125" style="51" customWidth="1"/>
    <col min="4845" max="4845" width="2.28515625" style="51" customWidth="1"/>
    <col min="4846" max="5089" width="11.42578125" style="51"/>
    <col min="5090" max="5090" width="44.85546875" style="51" customWidth="1"/>
    <col min="5091" max="5091" width="12.5703125" style="51" customWidth="1"/>
    <col min="5092" max="5094" width="0" style="51" hidden="1" customWidth="1"/>
    <col min="5095" max="5097" width="2.28515625" style="51" customWidth="1"/>
    <col min="5098" max="5098" width="14.5703125" style="51" customWidth="1"/>
    <col min="5099" max="5099" width="2.28515625" style="51" customWidth="1"/>
    <col min="5100" max="5100" width="14.5703125" style="51" customWidth="1"/>
    <col min="5101" max="5101" width="2.28515625" style="51" customWidth="1"/>
    <col min="5102" max="5345" width="11.42578125" style="51"/>
    <col min="5346" max="5346" width="44.85546875" style="51" customWidth="1"/>
    <col min="5347" max="5347" width="12.5703125" style="51" customWidth="1"/>
    <col min="5348" max="5350" width="0" style="51" hidden="1" customWidth="1"/>
    <col min="5351" max="5353" width="2.28515625" style="51" customWidth="1"/>
    <col min="5354" max="5354" width="14.5703125" style="51" customWidth="1"/>
    <col min="5355" max="5355" width="2.28515625" style="51" customWidth="1"/>
    <col min="5356" max="5356" width="14.5703125" style="51" customWidth="1"/>
    <col min="5357" max="5357" width="2.28515625" style="51" customWidth="1"/>
    <col min="5358" max="5601" width="11.42578125" style="51"/>
    <col min="5602" max="5602" width="44.85546875" style="51" customWidth="1"/>
    <col min="5603" max="5603" width="12.5703125" style="51" customWidth="1"/>
    <col min="5604" max="5606" width="0" style="51" hidden="1" customWidth="1"/>
    <col min="5607" max="5609" width="2.28515625" style="51" customWidth="1"/>
    <col min="5610" max="5610" width="14.5703125" style="51" customWidth="1"/>
    <col min="5611" max="5611" width="2.28515625" style="51" customWidth="1"/>
    <col min="5612" max="5612" width="14.5703125" style="51" customWidth="1"/>
    <col min="5613" max="5613" width="2.28515625" style="51" customWidth="1"/>
    <col min="5614" max="5857" width="11.42578125" style="51"/>
    <col min="5858" max="5858" width="44.85546875" style="51" customWidth="1"/>
    <col min="5859" max="5859" width="12.5703125" style="51" customWidth="1"/>
    <col min="5860" max="5862" width="0" style="51" hidden="1" customWidth="1"/>
    <col min="5863" max="5865" width="2.28515625" style="51" customWidth="1"/>
    <col min="5866" max="5866" width="14.5703125" style="51" customWidth="1"/>
    <col min="5867" max="5867" width="2.28515625" style="51" customWidth="1"/>
    <col min="5868" max="5868" width="14.5703125" style="51" customWidth="1"/>
    <col min="5869" max="5869" width="2.28515625" style="51" customWidth="1"/>
    <col min="5870" max="6113" width="11.42578125" style="51"/>
    <col min="6114" max="6114" width="44.85546875" style="51" customWidth="1"/>
    <col min="6115" max="6115" width="12.5703125" style="51" customWidth="1"/>
    <col min="6116" max="6118" width="0" style="51" hidden="1" customWidth="1"/>
    <col min="6119" max="6121" width="2.28515625" style="51" customWidth="1"/>
    <col min="6122" max="6122" width="14.5703125" style="51" customWidth="1"/>
    <col min="6123" max="6123" width="2.28515625" style="51" customWidth="1"/>
    <col min="6124" max="6124" width="14.5703125" style="51" customWidth="1"/>
    <col min="6125" max="6125" width="2.28515625" style="51" customWidth="1"/>
    <col min="6126" max="6369" width="11.42578125" style="51"/>
    <col min="6370" max="6370" width="44.85546875" style="51" customWidth="1"/>
    <col min="6371" max="6371" width="12.5703125" style="51" customWidth="1"/>
    <col min="6372" max="6374" width="0" style="51" hidden="1" customWidth="1"/>
    <col min="6375" max="6377" width="2.28515625" style="51" customWidth="1"/>
    <col min="6378" max="6378" width="14.5703125" style="51" customWidth="1"/>
    <col min="6379" max="6379" width="2.28515625" style="51" customWidth="1"/>
    <col min="6380" max="6380" width="14.5703125" style="51" customWidth="1"/>
    <col min="6381" max="6381" width="2.28515625" style="51" customWidth="1"/>
    <col min="6382" max="6625" width="11.42578125" style="51"/>
    <col min="6626" max="6626" width="44.85546875" style="51" customWidth="1"/>
    <col min="6627" max="6627" width="12.5703125" style="51" customWidth="1"/>
    <col min="6628" max="6630" width="0" style="51" hidden="1" customWidth="1"/>
    <col min="6631" max="6633" width="2.28515625" style="51" customWidth="1"/>
    <col min="6634" max="6634" width="14.5703125" style="51" customWidth="1"/>
    <col min="6635" max="6635" width="2.28515625" style="51" customWidth="1"/>
    <col min="6636" max="6636" width="14.5703125" style="51" customWidth="1"/>
    <col min="6637" max="6637" width="2.28515625" style="51" customWidth="1"/>
    <col min="6638" max="6881" width="11.42578125" style="51"/>
    <col min="6882" max="6882" width="44.85546875" style="51" customWidth="1"/>
    <col min="6883" max="6883" width="12.5703125" style="51" customWidth="1"/>
    <col min="6884" max="6886" width="0" style="51" hidden="1" customWidth="1"/>
    <col min="6887" max="6889" width="2.28515625" style="51" customWidth="1"/>
    <col min="6890" max="6890" width="14.5703125" style="51" customWidth="1"/>
    <col min="6891" max="6891" width="2.28515625" style="51" customWidth="1"/>
    <col min="6892" max="6892" width="14.5703125" style="51" customWidth="1"/>
    <col min="6893" max="6893" width="2.28515625" style="51" customWidth="1"/>
    <col min="6894" max="7137" width="11.42578125" style="51"/>
    <col min="7138" max="7138" width="44.85546875" style="51" customWidth="1"/>
    <col min="7139" max="7139" width="12.5703125" style="51" customWidth="1"/>
    <col min="7140" max="7142" width="0" style="51" hidden="1" customWidth="1"/>
    <col min="7143" max="7145" width="2.28515625" style="51" customWidth="1"/>
    <col min="7146" max="7146" width="14.5703125" style="51" customWidth="1"/>
    <col min="7147" max="7147" width="2.28515625" style="51" customWidth="1"/>
    <col min="7148" max="7148" width="14.5703125" style="51" customWidth="1"/>
    <col min="7149" max="7149" width="2.28515625" style="51" customWidth="1"/>
    <col min="7150" max="7393" width="11.42578125" style="51"/>
    <col min="7394" max="7394" width="44.85546875" style="51" customWidth="1"/>
    <col min="7395" max="7395" width="12.5703125" style="51" customWidth="1"/>
    <col min="7396" max="7398" width="0" style="51" hidden="1" customWidth="1"/>
    <col min="7399" max="7401" width="2.28515625" style="51" customWidth="1"/>
    <col min="7402" max="7402" width="14.5703125" style="51" customWidth="1"/>
    <col min="7403" max="7403" width="2.28515625" style="51" customWidth="1"/>
    <col min="7404" max="7404" width="14.5703125" style="51" customWidth="1"/>
    <col min="7405" max="7405" width="2.28515625" style="51" customWidth="1"/>
    <col min="7406" max="7649" width="11.42578125" style="51"/>
    <col min="7650" max="7650" width="44.85546875" style="51" customWidth="1"/>
    <col min="7651" max="7651" width="12.5703125" style="51" customWidth="1"/>
    <col min="7652" max="7654" width="0" style="51" hidden="1" customWidth="1"/>
    <col min="7655" max="7657" width="2.28515625" style="51" customWidth="1"/>
    <col min="7658" max="7658" width="14.5703125" style="51" customWidth="1"/>
    <col min="7659" max="7659" width="2.28515625" style="51" customWidth="1"/>
    <col min="7660" max="7660" width="14.5703125" style="51" customWidth="1"/>
    <col min="7661" max="7661" width="2.28515625" style="51" customWidth="1"/>
    <col min="7662" max="7905" width="11.42578125" style="51"/>
    <col min="7906" max="7906" width="44.85546875" style="51" customWidth="1"/>
    <col min="7907" max="7907" width="12.5703125" style="51" customWidth="1"/>
    <col min="7908" max="7910" width="0" style="51" hidden="1" customWidth="1"/>
    <col min="7911" max="7913" width="2.28515625" style="51" customWidth="1"/>
    <col min="7914" max="7914" width="14.5703125" style="51" customWidth="1"/>
    <col min="7915" max="7915" width="2.28515625" style="51" customWidth="1"/>
    <col min="7916" max="7916" width="14.5703125" style="51" customWidth="1"/>
    <col min="7917" max="7917" width="2.28515625" style="51" customWidth="1"/>
    <col min="7918" max="8161" width="11.42578125" style="51"/>
    <col min="8162" max="8162" width="44.85546875" style="51" customWidth="1"/>
    <col min="8163" max="8163" width="12.5703125" style="51" customWidth="1"/>
    <col min="8164" max="8166" width="0" style="51" hidden="1" customWidth="1"/>
    <col min="8167" max="8169" width="2.28515625" style="51" customWidth="1"/>
    <col min="8170" max="8170" width="14.5703125" style="51" customWidth="1"/>
    <col min="8171" max="8171" width="2.28515625" style="51" customWidth="1"/>
    <col min="8172" max="8172" width="14.5703125" style="51" customWidth="1"/>
    <col min="8173" max="8173" width="2.28515625" style="51" customWidth="1"/>
    <col min="8174" max="8417" width="11.42578125" style="51"/>
    <col min="8418" max="8418" width="44.85546875" style="51" customWidth="1"/>
    <col min="8419" max="8419" width="12.5703125" style="51" customWidth="1"/>
    <col min="8420" max="8422" width="0" style="51" hidden="1" customWidth="1"/>
    <col min="8423" max="8425" width="2.28515625" style="51" customWidth="1"/>
    <col min="8426" max="8426" width="14.5703125" style="51" customWidth="1"/>
    <col min="8427" max="8427" width="2.28515625" style="51" customWidth="1"/>
    <col min="8428" max="8428" width="14.5703125" style="51" customWidth="1"/>
    <col min="8429" max="8429" width="2.28515625" style="51" customWidth="1"/>
    <col min="8430" max="8673" width="11.42578125" style="51"/>
    <col min="8674" max="8674" width="44.85546875" style="51" customWidth="1"/>
    <col min="8675" max="8675" width="12.5703125" style="51" customWidth="1"/>
    <col min="8676" max="8678" width="0" style="51" hidden="1" customWidth="1"/>
    <col min="8679" max="8681" width="2.28515625" style="51" customWidth="1"/>
    <col min="8682" max="8682" width="14.5703125" style="51" customWidth="1"/>
    <col min="8683" max="8683" width="2.28515625" style="51" customWidth="1"/>
    <col min="8684" max="8684" width="14.5703125" style="51" customWidth="1"/>
    <col min="8685" max="8685" width="2.28515625" style="51" customWidth="1"/>
    <col min="8686" max="8929" width="11.42578125" style="51"/>
    <col min="8930" max="8930" width="44.85546875" style="51" customWidth="1"/>
    <col min="8931" max="8931" width="12.5703125" style="51" customWidth="1"/>
    <col min="8932" max="8934" width="0" style="51" hidden="1" customWidth="1"/>
    <col min="8935" max="8937" width="2.28515625" style="51" customWidth="1"/>
    <col min="8938" max="8938" width="14.5703125" style="51" customWidth="1"/>
    <col min="8939" max="8939" width="2.28515625" style="51" customWidth="1"/>
    <col min="8940" max="8940" width="14.5703125" style="51" customWidth="1"/>
    <col min="8941" max="8941" width="2.28515625" style="51" customWidth="1"/>
    <col min="8942" max="9185" width="11.42578125" style="51"/>
    <col min="9186" max="9186" width="44.85546875" style="51" customWidth="1"/>
    <col min="9187" max="9187" width="12.5703125" style="51" customWidth="1"/>
    <col min="9188" max="9190" width="0" style="51" hidden="1" customWidth="1"/>
    <col min="9191" max="9193" width="2.28515625" style="51" customWidth="1"/>
    <col min="9194" max="9194" width="14.5703125" style="51" customWidth="1"/>
    <col min="9195" max="9195" width="2.28515625" style="51" customWidth="1"/>
    <col min="9196" max="9196" width="14.5703125" style="51" customWidth="1"/>
    <col min="9197" max="9197" width="2.28515625" style="51" customWidth="1"/>
    <col min="9198" max="9441" width="11.42578125" style="51"/>
    <col min="9442" max="9442" width="44.85546875" style="51" customWidth="1"/>
    <col min="9443" max="9443" width="12.5703125" style="51" customWidth="1"/>
    <col min="9444" max="9446" width="0" style="51" hidden="1" customWidth="1"/>
    <col min="9447" max="9449" width="2.28515625" style="51" customWidth="1"/>
    <col min="9450" max="9450" width="14.5703125" style="51" customWidth="1"/>
    <col min="9451" max="9451" width="2.28515625" style="51" customWidth="1"/>
    <col min="9452" max="9452" width="14.5703125" style="51" customWidth="1"/>
    <col min="9453" max="9453" width="2.28515625" style="51" customWidth="1"/>
    <col min="9454" max="9697" width="11.42578125" style="51"/>
    <col min="9698" max="9698" width="44.85546875" style="51" customWidth="1"/>
    <col min="9699" max="9699" width="12.5703125" style="51" customWidth="1"/>
    <col min="9700" max="9702" width="0" style="51" hidden="1" customWidth="1"/>
    <col min="9703" max="9705" width="2.28515625" style="51" customWidth="1"/>
    <col min="9706" max="9706" width="14.5703125" style="51" customWidth="1"/>
    <col min="9707" max="9707" width="2.28515625" style="51" customWidth="1"/>
    <col min="9708" max="9708" width="14.5703125" style="51" customWidth="1"/>
    <col min="9709" max="9709" width="2.28515625" style="51" customWidth="1"/>
    <col min="9710" max="9953" width="11.42578125" style="51"/>
    <col min="9954" max="9954" width="44.85546875" style="51" customWidth="1"/>
    <col min="9955" max="9955" width="12.5703125" style="51" customWidth="1"/>
    <col min="9956" max="9958" width="0" style="51" hidden="1" customWidth="1"/>
    <col min="9959" max="9961" width="2.28515625" style="51" customWidth="1"/>
    <col min="9962" max="9962" width="14.5703125" style="51" customWidth="1"/>
    <col min="9963" max="9963" width="2.28515625" style="51" customWidth="1"/>
    <col min="9964" max="9964" width="14.5703125" style="51" customWidth="1"/>
    <col min="9965" max="9965" width="2.28515625" style="51" customWidth="1"/>
    <col min="9966" max="10209" width="11.42578125" style="51"/>
    <col min="10210" max="10210" width="44.85546875" style="51" customWidth="1"/>
    <col min="10211" max="10211" width="12.5703125" style="51" customWidth="1"/>
    <col min="10212" max="10214" width="0" style="51" hidden="1" customWidth="1"/>
    <col min="10215" max="10217" width="2.28515625" style="51" customWidth="1"/>
    <col min="10218" max="10218" width="14.5703125" style="51" customWidth="1"/>
    <col min="10219" max="10219" width="2.28515625" style="51" customWidth="1"/>
    <col min="10220" max="10220" width="14.5703125" style="51" customWidth="1"/>
    <col min="10221" max="10221" width="2.28515625" style="51" customWidth="1"/>
    <col min="10222" max="10465" width="11.42578125" style="51"/>
    <col min="10466" max="10466" width="44.85546875" style="51" customWidth="1"/>
    <col min="10467" max="10467" width="12.5703125" style="51" customWidth="1"/>
    <col min="10468" max="10470" width="0" style="51" hidden="1" customWidth="1"/>
    <col min="10471" max="10473" width="2.28515625" style="51" customWidth="1"/>
    <col min="10474" max="10474" width="14.5703125" style="51" customWidth="1"/>
    <col min="10475" max="10475" width="2.28515625" style="51" customWidth="1"/>
    <col min="10476" max="10476" width="14.5703125" style="51" customWidth="1"/>
    <col min="10477" max="10477" width="2.28515625" style="51" customWidth="1"/>
    <col min="10478" max="10721" width="11.42578125" style="51"/>
    <col min="10722" max="10722" width="44.85546875" style="51" customWidth="1"/>
    <col min="10723" max="10723" width="12.5703125" style="51" customWidth="1"/>
    <col min="10724" max="10726" width="0" style="51" hidden="1" customWidth="1"/>
    <col min="10727" max="10729" width="2.28515625" style="51" customWidth="1"/>
    <col min="10730" max="10730" width="14.5703125" style="51" customWidth="1"/>
    <col min="10731" max="10731" width="2.28515625" style="51" customWidth="1"/>
    <col min="10732" max="10732" width="14.5703125" style="51" customWidth="1"/>
    <col min="10733" max="10733" width="2.28515625" style="51" customWidth="1"/>
    <col min="10734" max="10977" width="11.42578125" style="51"/>
    <col min="10978" max="10978" width="44.85546875" style="51" customWidth="1"/>
    <col min="10979" max="10979" width="12.5703125" style="51" customWidth="1"/>
    <col min="10980" max="10982" width="0" style="51" hidden="1" customWidth="1"/>
    <col min="10983" max="10985" width="2.28515625" style="51" customWidth="1"/>
    <col min="10986" max="10986" width="14.5703125" style="51" customWidth="1"/>
    <col min="10987" max="10987" width="2.28515625" style="51" customWidth="1"/>
    <col min="10988" max="10988" width="14.5703125" style="51" customWidth="1"/>
    <col min="10989" max="10989" width="2.28515625" style="51" customWidth="1"/>
    <col min="10990" max="11233" width="11.42578125" style="51"/>
    <col min="11234" max="11234" width="44.85546875" style="51" customWidth="1"/>
    <col min="11235" max="11235" width="12.5703125" style="51" customWidth="1"/>
    <col min="11236" max="11238" width="0" style="51" hidden="1" customWidth="1"/>
    <col min="11239" max="11241" width="2.28515625" style="51" customWidth="1"/>
    <col min="11242" max="11242" width="14.5703125" style="51" customWidth="1"/>
    <col min="11243" max="11243" width="2.28515625" style="51" customWidth="1"/>
    <col min="11244" max="11244" width="14.5703125" style="51" customWidth="1"/>
    <col min="11245" max="11245" width="2.28515625" style="51" customWidth="1"/>
    <col min="11246" max="11489" width="11.42578125" style="51"/>
    <col min="11490" max="11490" width="44.85546875" style="51" customWidth="1"/>
    <col min="11491" max="11491" width="12.5703125" style="51" customWidth="1"/>
    <col min="11492" max="11494" width="0" style="51" hidden="1" customWidth="1"/>
    <col min="11495" max="11497" width="2.28515625" style="51" customWidth="1"/>
    <col min="11498" max="11498" width="14.5703125" style="51" customWidth="1"/>
    <col min="11499" max="11499" width="2.28515625" style="51" customWidth="1"/>
    <col min="11500" max="11500" width="14.5703125" style="51" customWidth="1"/>
    <col min="11501" max="11501" width="2.28515625" style="51" customWidth="1"/>
    <col min="11502" max="11745" width="11.42578125" style="51"/>
    <col min="11746" max="11746" width="44.85546875" style="51" customWidth="1"/>
    <col min="11747" max="11747" width="12.5703125" style="51" customWidth="1"/>
    <col min="11748" max="11750" width="0" style="51" hidden="1" customWidth="1"/>
    <col min="11751" max="11753" width="2.28515625" style="51" customWidth="1"/>
    <col min="11754" max="11754" width="14.5703125" style="51" customWidth="1"/>
    <col min="11755" max="11755" width="2.28515625" style="51" customWidth="1"/>
    <col min="11756" max="11756" width="14.5703125" style="51" customWidth="1"/>
    <col min="11757" max="11757" width="2.28515625" style="51" customWidth="1"/>
    <col min="11758" max="12001" width="11.42578125" style="51"/>
    <col min="12002" max="12002" width="44.85546875" style="51" customWidth="1"/>
    <col min="12003" max="12003" width="12.5703125" style="51" customWidth="1"/>
    <col min="12004" max="12006" width="0" style="51" hidden="1" customWidth="1"/>
    <col min="12007" max="12009" width="2.28515625" style="51" customWidth="1"/>
    <col min="12010" max="12010" width="14.5703125" style="51" customWidth="1"/>
    <col min="12011" max="12011" width="2.28515625" style="51" customWidth="1"/>
    <col min="12012" max="12012" width="14.5703125" style="51" customWidth="1"/>
    <col min="12013" max="12013" width="2.28515625" style="51" customWidth="1"/>
    <col min="12014" max="12257" width="11.42578125" style="51"/>
    <col min="12258" max="12258" width="44.85546875" style="51" customWidth="1"/>
    <col min="12259" max="12259" width="12.5703125" style="51" customWidth="1"/>
    <col min="12260" max="12262" width="0" style="51" hidden="1" customWidth="1"/>
    <col min="12263" max="12265" width="2.28515625" style="51" customWidth="1"/>
    <col min="12266" max="12266" width="14.5703125" style="51" customWidth="1"/>
    <col min="12267" max="12267" width="2.28515625" style="51" customWidth="1"/>
    <col min="12268" max="12268" width="14.5703125" style="51" customWidth="1"/>
    <col min="12269" max="12269" width="2.28515625" style="51" customWidth="1"/>
    <col min="12270" max="12513" width="11.42578125" style="51"/>
    <col min="12514" max="12514" width="44.85546875" style="51" customWidth="1"/>
    <col min="12515" max="12515" width="12.5703125" style="51" customWidth="1"/>
    <col min="12516" max="12518" width="0" style="51" hidden="1" customWidth="1"/>
    <col min="12519" max="12521" width="2.28515625" style="51" customWidth="1"/>
    <col min="12522" max="12522" width="14.5703125" style="51" customWidth="1"/>
    <col min="12523" max="12523" width="2.28515625" style="51" customWidth="1"/>
    <col min="12524" max="12524" width="14.5703125" style="51" customWidth="1"/>
    <col min="12525" max="12525" width="2.28515625" style="51" customWidth="1"/>
    <col min="12526" max="12769" width="11.42578125" style="51"/>
    <col min="12770" max="12770" width="44.85546875" style="51" customWidth="1"/>
    <col min="12771" max="12771" width="12.5703125" style="51" customWidth="1"/>
    <col min="12772" max="12774" width="0" style="51" hidden="1" customWidth="1"/>
    <col min="12775" max="12777" width="2.28515625" style="51" customWidth="1"/>
    <col min="12778" max="12778" width="14.5703125" style="51" customWidth="1"/>
    <col min="12779" max="12779" width="2.28515625" style="51" customWidth="1"/>
    <col min="12780" max="12780" width="14.5703125" style="51" customWidth="1"/>
    <col min="12781" max="12781" width="2.28515625" style="51" customWidth="1"/>
    <col min="12782" max="13025" width="11.42578125" style="51"/>
    <col min="13026" max="13026" width="44.85546875" style="51" customWidth="1"/>
    <col min="13027" max="13027" width="12.5703125" style="51" customWidth="1"/>
    <col min="13028" max="13030" width="0" style="51" hidden="1" customWidth="1"/>
    <col min="13031" max="13033" width="2.28515625" style="51" customWidth="1"/>
    <col min="13034" max="13034" width="14.5703125" style="51" customWidth="1"/>
    <col min="13035" max="13035" width="2.28515625" style="51" customWidth="1"/>
    <col min="13036" max="13036" width="14.5703125" style="51" customWidth="1"/>
    <col min="13037" max="13037" width="2.28515625" style="51" customWidth="1"/>
    <col min="13038" max="13281" width="11.42578125" style="51"/>
    <col min="13282" max="13282" width="44.85546875" style="51" customWidth="1"/>
    <col min="13283" max="13283" width="12.5703125" style="51" customWidth="1"/>
    <col min="13284" max="13286" width="0" style="51" hidden="1" customWidth="1"/>
    <col min="13287" max="13289" width="2.28515625" style="51" customWidth="1"/>
    <col min="13290" max="13290" width="14.5703125" style="51" customWidth="1"/>
    <col min="13291" max="13291" width="2.28515625" style="51" customWidth="1"/>
    <col min="13292" max="13292" width="14.5703125" style="51" customWidth="1"/>
    <col min="13293" max="13293" width="2.28515625" style="51" customWidth="1"/>
    <col min="13294" max="13537" width="11.42578125" style="51"/>
    <col min="13538" max="13538" width="44.85546875" style="51" customWidth="1"/>
    <col min="13539" max="13539" width="12.5703125" style="51" customWidth="1"/>
    <col min="13540" max="13542" width="0" style="51" hidden="1" customWidth="1"/>
    <col min="13543" max="13545" width="2.28515625" style="51" customWidth="1"/>
    <col min="13546" max="13546" width="14.5703125" style="51" customWidth="1"/>
    <col min="13547" max="13547" width="2.28515625" style="51" customWidth="1"/>
    <col min="13548" max="13548" width="14.5703125" style="51" customWidth="1"/>
    <col min="13549" max="13549" width="2.28515625" style="51" customWidth="1"/>
    <col min="13550" max="13793" width="11.42578125" style="51"/>
    <col min="13794" max="13794" width="44.85546875" style="51" customWidth="1"/>
    <col min="13795" max="13795" width="12.5703125" style="51" customWidth="1"/>
    <col min="13796" max="13798" width="0" style="51" hidden="1" customWidth="1"/>
    <col min="13799" max="13801" width="2.28515625" style="51" customWidth="1"/>
    <col min="13802" max="13802" width="14.5703125" style="51" customWidth="1"/>
    <col min="13803" max="13803" width="2.28515625" style="51" customWidth="1"/>
    <col min="13804" max="13804" width="14.5703125" style="51" customWidth="1"/>
    <col min="13805" max="13805" width="2.28515625" style="51" customWidth="1"/>
    <col min="13806" max="14049" width="11.42578125" style="51"/>
    <col min="14050" max="14050" width="44.85546875" style="51" customWidth="1"/>
    <col min="14051" max="14051" width="12.5703125" style="51" customWidth="1"/>
    <col min="14052" max="14054" width="0" style="51" hidden="1" customWidth="1"/>
    <col min="14055" max="14057" width="2.28515625" style="51" customWidth="1"/>
    <col min="14058" max="14058" width="14.5703125" style="51" customWidth="1"/>
    <col min="14059" max="14059" width="2.28515625" style="51" customWidth="1"/>
    <col min="14060" max="14060" width="14.5703125" style="51" customWidth="1"/>
    <col min="14061" max="14061" width="2.28515625" style="51" customWidth="1"/>
    <col min="14062" max="14305" width="11.42578125" style="51"/>
    <col min="14306" max="14306" width="44.85546875" style="51" customWidth="1"/>
    <col min="14307" max="14307" width="12.5703125" style="51" customWidth="1"/>
    <col min="14308" max="14310" width="0" style="51" hidden="1" customWidth="1"/>
    <col min="14311" max="14313" width="2.28515625" style="51" customWidth="1"/>
    <col min="14314" max="14314" width="14.5703125" style="51" customWidth="1"/>
    <col min="14315" max="14315" width="2.28515625" style="51" customWidth="1"/>
    <col min="14316" max="14316" width="14.5703125" style="51" customWidth="1"/>
    <col min="14317" max="14317" width="2.28515625" style="51" customWidth="1"/>
    <col min="14318" max="14561" width="11.42578125" style="51"/>
    <col min="14562" max="14562" width="44.85546875" style="51" customWidth="1"/>
    <col min="14563" max="14563" width="12.5703125" style="51" customWidth="1"/>
    <col min="14564" max="14566" width="0" style="51" hidden="1" customWidth="1"/>
    <col min="14567" max="14569" width="2.28515625" style="51" customWidth="1"/>
    <col min="14570" max="14570" width="14.5703125" style="51" customWidth="1"/>
    <col min="14571" max="14571" width="2.28515625" style="51" customWidth="1"/>
    <col min="14572" max="14572" width="14.5703125" style="51" customWidth="1"/>
    <col min="14573" max="14573" width="2.28515625" style="51" customWidth="1"/>
    <col min="14574" max="14817" width="11.42578125" style="51"/>
    <col min="14818" max="14818" width="44.85546875" style="51" customWidth="1"/>
    <col min="14819" max="14819" width="12.5703125" style="51" customWidth="1"/>
    <col min="14820" max="14822" width="0" style="51" hidden="1" customWidth="1"/>
    <col min="14823" max="14825" width="2.28515625" style="51" customWidth="1"/>
    <col min="14826" max="14826" width="14.5703125" style="51" customWidth="1"/>
    <col min="14827" max="14827" width="2.28515625" style="51" customWidth="1"/>
    <col min="14828" max="14828" width="14.5703125" style="51" customWidth="1"/>
    <col min="14829" max="14829" width="2.28515625" style="51" customWidth="1"/>
    <col min="14830" max="15073" width="11.42578125" style="51"/>
    <col min="15074" max="15074" width="44.85546875" style="51" customWidth="1"/>
    <col min="15075" max="15075" width="12.5703125" style="51" customWidth="1"/>
    <col min="15076" max="15078" width="0" style="51" hidden="1" customWidth="1"/>
    <col min="15079" max="15081" width="2.28515625" style="51" customWidth="1"/>
    <col min="15082" max="15082" width="14.5703125" style="51" customWidth="1"/>
    <col min="15083" max="15083" width="2.28515625" style="51" customWidth="1"/>
    <col min="15084" max="15084" width="14.5703125" style="51" customWidth="1"/>
    <col min="15085" max="15085" width="2.28515625" style="51" customWidth="1"/>
    <col min="15086" max="15329" width="11.42578125" style="51"/>
    <col min="15330" max="15330" width="44.85546875" style="51" customWidth="1"/>
    <col min="15331" max="15331" width="12.5703125" style="51" customWidth="1"/>
    <col min="15332" max="15334" width="0" style="51" hidden="1" customWidth="1"/>
    <col min="15335" max="15337" width="2.28515625" style="51" customWidth="1"/>
    <col min="15338" max="15338" width="14.5703125" style="51" customWidth="1"/>
    <col min="15339" max="15339" width="2.28515625" style="51" customWidth="1"/>
    <col min="15340" max="15340" width="14.5703125" style="51" customWidth="1"/>
    <col min="15341" max="15341" width="2.28515625" style="51" customWidth="1"/>
    <col min="15342" max="15585" width="11.42578125" style="51"/>
    <col min="15586" max="15586" width="44.85546875" style="51" customWidth="1"/>
    <col min="15587" max="15587" width="12.5703125" style="51" customWidth="1"/>
    <col min="15588" max="15590" width="0" style="51" hidden="1" customWidth="1"/>
    <col min="15591" max="15593" width="2.28515625" style="51" customWidth="1"/>
    <col min="15594" max="15594" width="14.5703125" style="51" customWidth="1"/>
    <col min="15595" max="15595" width="2.28515625" style="51" customWidth="1"/>
    <col min="15596" max="15596" width="14.5703125" style="51" customWidth="1"/>
    <col min="15597" max="15597" width="2.28515625" style="51" customWidth="1"/>
    <col min="15598" max="15841" width="11.42578125" style="51"/>
    <col min="15842" max="15842" width="44.85546875" style="51" customWidth="1"/>
    <col min="15843" max="15843" width="12.5703125" style="51" customWidth="1"/>
    <col min="15844" max="15846" width="0" style="51" hidden="1" customWidth="1"/>
    <col min="15847" max="15849" width="2.28515625" style="51" customWidth="1"/>
    <col min="15850" max="15850" width="14.5703125" style="51" customWidth="1"/>
    <col min="15851" max="15851" width="2.28515625" style="51" customWidth="1"/>
    <col min="15852" max="15852" width="14.5703125" style="51" customWidth="1"/>
    <col min="15853" max="15853" width="2.28515625" style="51" customWidth="1"/>
    <col min="15854" max="16097" width="11.42578125" style="51"/>
    <col min="16098" max="16098" width="44.85546875" style="51" customWidth="1"/>
    <col min="16099" max="16099" width="12.5703125" style="51" customWidth="1"/>
    <col min="16100" max="16102" width="0" style="51" hidden="1" customWidth="1"/>
    <col min="16103" max="16105" width="2.28515625" style="51" customWidth="1"/>
    <col min="16106" max="16106" width="14.5703125" style="51" customWidth="1"/>
    <col min="16107" max="16107" width="2.28515625" style="51" customWidth="1"/>
    <col min="16108" max="16108" width="14.5703125" style="51" customWidth="1"/>
    <col min="16109" max="16109" width="2.28515625" style="51" customWidth="1"/>
    <col min="16110" max="16384" width="11.42578125" style="51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389" t="s">
        <v>0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</row>
    <row r="9" spans="1:13" x14ac:dyDescent="0.25">
      <c r="A9" s="389" t="s">
        <v>1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</row>
    <row r="10" spans="1:13" x14ac:dyDescent="0.25">
      <c r="A10" s="124"/>
      <c r="B10" s="124"/>
      <c r="C10" s="124"/>
      <c r="D10" s="124"/>
      <c r="E10" s="124"/>
      <c r="F10" s="124"/>
      <c r="G10" s="124"/>
      <c r="H10" s="166"/>
      <c r="I10" s="166"/>
      <c r="J10" s="124"/>
      <c r="K10" s="52"/>
      <c r="L10" s="124"/>
    </row>
    <row r="11" spans="1:13" x14ac:dyDescent="0.25">
      <c r="A11" s="389" t="s">
        <v>2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3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2"/>
      <c r="L12" s="53"/>
    </row>
    <row r="13" spans="1:13" x14ac:dyDescent="0.25">
      <c r="A13" s="390" t="s">
        <v>1712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</row>
    <row r="14" spans="1:13" x14ac:dyDescent="0.25">
      <c r="A14" s="390" t="s">
        <v>1796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</row>
    <row r="15" spans="1:13" x14ac:dyDescent="0.25">
      <c r="A15" s="390" t="s">
        <v>1713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</row>
    <row r="17" spans="1:19" x14ac:dyDescent="0.25">
      <c r="O17" s="134" t="s">
        <v>1800</v>
      </c>
    </row>
    <row r="18" spans="1:19" x14ac:dyDescent="0.25">
      <c r="G18" s="4" t="s">
        <v>4</v>
      </c>
      <c r="H18" s="4"/>
      <c r="I18" s="4" t="s">
        <v>4</v>
      </c>
      <c r="K18" s="4" t="s">
        <v>4</v>
      </c>
      <c r="M18" s="4" t="s">
        <v>4</v>
      </c>
      <c r="O18" s="4" t="s">
        <v>4</v>
      </c>
    </row>
    <row r="19" spans="1:19" x14ac:dyDescent="0.25">
      <c r="G19" s="5">
        <v>44013</v>
      </c>
      <c r="H19" s="5"/>
      <c r="I19" s="5">
        <v>43647</v>
      </c>
      <c r="K19" s="5">
        <v>43831</v>
      </c>
      <c r="M19" s="5">
        <v>43466</v>
      </c>
      <c r="O19" s="5">
        <v>43466</v>
      </c>
    </row>
    <row r="20" spans="1:19" x14ac:dyDescent="0.25">
      <c r="G20" s="4" t="s">
        <v>5</v>
      </c>
      <c r="H20" s="4"/>
      <c r="I20" s="4" t="s">
        <v>5</v>
      </c>
      <c r="K20" s="4" t="s">
        <v>5</v>
      </c>
      <c r="M20" s="4" t="s">
        <v>5</v>
      </c>
      <c r="O20" s="4" t="s">
        <v>5</v>
      </c>
    </row>
    <row r="21" spans="1:19" x14ac:dyDescent="0.25">
      <c r="C21" s="123" t="s">
        <v>1714</v>
      </c>
      <c r="D21" s="123"/>
      <c r="E21" s="123" t="s">
        <v>1714</v>
      </c>
      <c r="F21" s="123"/>
      <c r="G21" s="6">
        <v>44104</v>
      </c>
      <c r="H21" s="6"/>
      <c r="I21" s="6">
        <v>43738</v>
      </c>
      <c r="J21" s="123"/>
      <c r="K21" s="6">
        <v>44104</v>
      </c>
      <c r="L21" s="123"/>
      <c r="M21" s="6">
        <v>43738</v>
      </c>
      <c r="N21" s="123"/>
      <c r="O21" s="6">
        <v>43830</v>
      </c>
    </row>
    <row r="22" spans="1:19" x14ac:dyDescent="0.25">
      <c r="C22" s="54" t="s">
        <v>1715</v>
      </c>
      <c r="D22" s="54"/>
      <c r="E22" s="54" t="s">
        <v>1716</v>
      </c>
      <c r="F22" s="54"/>
      <c r="G22" s="54"/>
      <c r="H22" s="54"/>
      <c r="I22" s="54"/>
      <c r="J22" s="54"/>
      <c r="K22" s="54"/>
      <c r="L22" s="54"/>
      <c r="M22" s="54"/>
      <c r="N22" s="54"/>
      <c r="O22" s="5"/>
      <c r="S22" s="169"/>
    </row>
    <row r="23" spans="1:19" x14ac:dyDescent="0.25">
      <c r="B23" s="55"/>
      <c r="C23" s="56"/>
      <c r="D23" s="56"/>
      <c r="E23" s="56"/>
      <c r="F23" s="55"/>
      <c r="G23" s="55"/>
      <c r="H23" s="55"/>
      <c r="I23" s="55"/>
      <c r="J23" s="55"/>
      <c r="K23" s="56"/>
      <c r="L23" s="55"/>
      <c r="M23" s="56"/>
      <c r="N23" s="56"/>
      <c r="O23" s="55"/>
      <c r="S23" s="170"/>
    </row>
    <row r="24" spans="1:19" x14ac:dyDescent="0.25">
      <c r="A24" s="57" t="s">
        <v>1717</v>
      </c>
      <c r="B24" s="55" t="s">
        <v>1718</v>
      </c>
      <c r="C24" s="56">
        <f>18656628.25-3336463.87</f>
        <v>15320164.379999999</v>
      </c>
      <c r="D24" s="56"/>
      <c r="E24" s="56">
        <f>15698058.45-2140132.97</f>
        <v>13557925.479999999</v>
      </c>
      <c r="F24" s="56"/>
      <c r="G24" s="169">
        <f>13159429.98/1000</f>
        <v>13159.429980000001</v>
      </c>
      <c r="H24" s="58"/>
      <c r="I24" s="169">
        <f>(14556.43113-2169.50102-1644.44248+4.12781)</f>
        <v>10746.615440000001</v>
      </c>
      <c r="J24" s="56"/>
      <c r="K24" s="58">
        <v>38635.422989999999</v>
      </c>
      <c r="L24" s="58"/>
      <c r="M24" s="169">
        <f>45607.24553-7360.61837-5501.46101+4.12781+35.691</f>
        <v>32784.984960000009</v>
      </c>
      <c r="N24" s="56"/>
      <c r="O24" s="58">
        <v>47921.439140000002</v>
      </c>
      <c r="P24" s="58">
        <v>47921.439140000002</v>
      </c>
      <c r="S24" s="136"/>
    </row>
    <row r="25" spans="1:19" x14ac:dyDescent="0.25">
      <c r="B25" s="55"/>
      <c r="C25" s="55"/>
      <c r="D25" s="55"/>
      <c r="E25" s="55"/>
      <c r="F25" s="56"/>
      <c r="G25" s="59"/>
      <c r="H25" s="59"/>
      <c r="I25" s="170"/>
      <c r="J25" s="56"/>
      <c r="K25" s="59">
        <v>0</v>
      </c>
      <c r="L25" s="58"/>
      <c r="M25" s="170"/>
      <c r="N25" s="55"/>
      <c r="O25" s="59">
        <v>0</v>
      </c>
      <c r="P25" s="59">
        <v>0</v>
      </c>
      <c r="S25" s="135"/>
    </row>
    <row r="26" spans="1:19" x14ac:dyDescent="0.25">
      <c r="A26" s="57" t="s">
        <v>1719</v>
      </c>
      <c r="B26" s="55" t="s">
        <v>1720</v>
      </c>
      <c r="C26" s="56">
        <f>574014.32-10085908.16</f>
        <v>-9511893.8399999999</v>
      </c>
      <c r="D26" s="56"/>
      <c r="E26" s="56">
        <v>-5972590.46</v>
      </c>
      <c r="F26" s="58"/>
      <c r="G26" s="58">
        <f>(-10573026.93+767775.83)/1000</f>
        <v>-9805.2510999999995</v>
      </c>
      <c r="H26" s="58"/>
      <c r="I26" s="136">
        <f>-13374.10431+667.83574</f>
        <v>-12706.26857</v>
      </c>
      <c r="J26" s="58"/>
      <c r="K26" s="58">
        <f>-29706.70842</f>
        <v>-29706.708419999999</v>
      </c>
      <c r="L26" s="58"/>
      <c r="M26" s="136">
        <f>-33815.0005</f>
        <v>-33815.000500000002</v>
      </c>
      <c r="N26" s="56"/>
      <c r="O26" s="58">
        <v>-44774.483030000003</v>
      </c>
      <c r="P26" s="58">
        <v>-44774.483030000003</v>
      </c>
      <c r="S26" s="136"/>
    </row>
    <row r="27" spans="1:19" x14ac:dyDescent="0.25">
      <c r="A27" s="60"/>
      <c r="B27" s="55"/>
      <c r="C27" s="55"/>
      <c r="D27" s="55"/>
      <c r="E27" s="55"/>
      <c r="F27" s="58"/>
      <c r="G27" s="59"/>
      <c r="H27" s="59"/>
      <c r="I27" s="135"/>
      <c r="J27" s="58"/>
      <c r="K27" s="59">
        <v>0</v>
      </c>
      <c r="L27" s="58"/>
      <c r="M27" s="135"/>
      <c r="N27" s="55"/>
      <c r="O27" s="59">
        <v>0</v>
      </c>
      <c r="P27" s="59">
        <v>0</v>
      </c>
      <c r="S27" s="171"/>
    </row>
    <row r="28" spans="1:19" x14ac:dyDescent="0.25">
      <c r="A28" s="57" t="s">
        <v>1721</v>
      </c>
      <c r="B28" s="55"/>
      <c r="C28" s="56">
        <f>C24+C26</f>
        <v>5808270.5399999991</v>
      </c>
      <c r="D28" s="56"/>
      <c r="E28" s="56">
        <f>E24+E26</f>
        <v>7585335.0199999986</v>
      </c>
      <c r="F28" s="58"/>
      <c r="G28" s="58">
        <f>SUM(G24:G27)</f>
        <v>3354.1788800000013</v>
      </c>
      <c r="H28" s="58"/>
      <c r="I28" s="136">
        <f>I24+I26</f>
        <v>-1959.6531299999988</v>
      </c>
      <c r="J28" s="58"/>
      <c r="K28" s="58">
        <f>SUM(K24:K27)</f>
        <v>8928.7145700000001</v>
      </c>
      <c r="L28" s="58"/>
      <c r="M28" s="136">
        <f>M24+M26</f>
        <v>-1030.0155399999931</v>
      </c>
      <c r="N28" s="56"/>
      <c r="O28" s="58">
        <f>SUM(O24:O27)</f>
        <v>3146.9561099999992</v>
      </c>
      <c r="P28" s="58">
        <f>SUM(P24:P27)</f>
        <v>3146.9561099999992</v>
      </c>
      <c r="S28" s="136"/>
    </row>
    <row r="29" spans="1:19" x14ac:dyDescent="0.25">
      <c r="A29" s="60"/>
      <c r="B29" s="55"/>
      <c r="C29" s="55"/>
      <c r="D29" s="55"/>
      <c r="E29" s="55"/>
      <c r="F29" s="58"/>
      <c r="G29" s="59">
        <v>0</v>
      </c>
      <c r="H29" s="59"/>
      <c r="I29" s="171"/>
      <c r="J29" s="58"/>
      <c r="K29" s="59">
        <v>0</v>
      </c>
      <c r="L29" s="58"/>
      <c r="M29" s="171"/>
      <c r="N29" s="55"/>
      <c r="O29" s="135">
        <v>0</v>
      </c>
      <c r="P29" s="135">
        <v>0</v>
      </c>
      <c r="S29" s="135"/>
    </row>
    <row r="30" spans="1:19" x14ac:dyDescent="0.25">
      <c r="A30" s="57" t="s">
        <v>1722</v>
      </c>
      <c r="B30" s="55"/>
      <c r="C30" s="56" t="e">
        <f>(C32+C33+#REF!+C34)</f>
        <v>#REF!</v>
      </c>
      <c r="D30" s="56"/>
      <c r="E30" s="56" t="e">
        <f>(E32+E33+#REF!+E34)</f>
        <v>#REF!</v>
      </c>
      <c r="F30" s="58"/>
      <c r="G30" s="58">
        <f>(G32+G33+G34)</f>
        <v>-4669.8628399999998</v>
      </c>
      <c r="H30" s="58"/>
      <c r="I30" s="136">
        <f>(I32+I33+I34+I35)</f>
        <v>-5571.21749</v>
      </c>
      <c r="J30" s="58"/>
      <c r="K30" s="58">
        <f>(K32+K33+K34)</f>
        <v>-13922.627220000002</v>
      </c>
      <c r="L30" s="58"/>
      <c r="M30" s="136">
        <f>(M32+M33+M34+M35)</f>
        <v>-21120.037830000001</v>
      </c>
      <c r="N30" s="56"/>
      <c r="O30" s="136">
        <f>(O32+O33+O34)</f>
        <v>-26724.602999999999</v>
      </c>
      <c r="P30" s="136">
        <f>(P32+P33+P34)</f>
        <v>-25180.934000000001</v>
      </c>
      <c r="Q30" s="72"/>
      <c r="S30" s="136"/>
    </row>
    <row r="31" spans="1:19" x14ac:dyDescent="0.25">
      <c r="B31" s="55"/>
      <c r="C31" s="55"/>
      <c r="D31" s="55"/>
      <c r="E31" s="55"/>
      <c r="F31" s="58"/>
      <c r="G31" s="59">
        <v>0</v>
      </c>
      <c r="H31" s="59"/>
      <c r="I31" s="135"/>
      <c r="J31" s="58"/>
      <c r="K31" s="59">
        <v>0</v>
      </c>
      <c r="L31" s="58"/>
      <c r="M31" s="135"/>
      <c r="N31" s="55"/>
      <c r="O31" s="135">
        <v>0</v>
      </c>
      <c r="P31" s="135">
        <v>0</v>
      </c>
      <c r="Q31" s="72"/>
      <c r="S31" s="136"/>
    </row>
    <row r="32" spans="1:19" x14ac:dyDescent="0.25">
      <c r="A32" s="51" t="s">
        <v>1723</v>
      </c>
      <c r="B32" s="55" t="s">
        <v>1724</v>
      </c>
      <c r="C32" s="56">
        <f>-6916226.02+349885.19</f>
        <v>-6566340.8299999991</v>
      </c>
      <c r="D32" s="56"/>
      <c r="E32" s="56">
        <v>-6836215.71</v>
      </c>
      <c r="F32" s="58"/>
      <c r="G32" s="58">
        <f>(-7309149.97+310112.03)/1000</f>
        <v>-6999.0379399999993</v>
      </c>
      <c r="H32" s="58"/>
      <c r="I32" s="136">
        <f>-7355.65734+326.41475</f>
        <v>-7029.2425899999998</v>
      </c>
      <c r="J32" s="58"/>
      <c r="K32" s="58">
        <f>-19731.85257+108.59987</f>
        <v>-19623.252700000001</v>
      </c>
      <c r="L32" s="58"/>
      <c r="M32" s="136">
        <f>-22094.17811</f>
        <v>-22094.178110000001</v>
      </c>
      <c r="N32" s="56"/>
      <c r="O32" s="136">
        <f>-28362.50178-108.59987</f>
        <v>-28471.101649999997</v>
      </c>
      <c r="P32" s="136">
        <f>-28362.50178</f>
        <v>-28362.501779999999</v>
      </c>
      <c r="Q32" s="72"/>
      <c r="S32" s="136"/>
    </row>
    <row r="33" spans="1:19" x14ac:dyDescent="0.25">
      <c r="A33" s="51" t="s">
        <v>1725</v>
      </c>
      <c r="B33" s="55" t="s">
        <v>1726</v>
      </c>
      <c r="C33" s="56">
        <f>1479001.44+476.76</f>
        <v>1479478.2</v>
      </c>
      <c r="D33" s="56"/>
      <c r="E33" s="56">
        <v>2234.09</v>
      </c>
      <c r="F33" s="58"/>
      <c r="G33" s="58">
        <f>2329.1751</f>
        <v>2329.1750999999999</v>
      </c>
      <c r="H33" s="58"/>
      <c r="I33" s="136">
        <f>1644.44248-4.12781+84.67043-53.77491+3.55024-225.34954+8.61421</f>
        <v>1458.0250999999998</v>
      </c>
      <c r="J33" s="58"/>
      <c r="K33" s="58">
        <f>4265.55635+1435.06913</f>
        <v>5700.6254799999997</v>
      </c>
      <c r="L33" s="58"/>
      <c r="M33" s="136">
        <f>5501.46101-4.12781-35.691+340.93851+12.96636-291.17325</f>
        <v>5524.3738200000007</v>
      </c>
      <c r="N33" s="56"/>
      <c r="O33" s="136">
        <f>7731.80132-1435.06913</f>
        <v>6296.7321899999997</v>
      </c>
      <c r="P33" s="136">
        <f>7731.80132</f>
        <v>7731.8013199999996</v>
      </c>
      <c r="Q33" s="72"/>
      <c r="S33" s="172"/>
    </row>
    <row r="34" spans="1:19" x14ac:dyDescent="0.25">
      <c r="A34" s="51" t="s">
        <v>1789</v>
      </c>
      <c r="B34" s="55"/>
      <c r="C34" s="56">
        <v>0</v>
      </c>
      <c r="D34" s="56"/>
      <c r="E34" s="56">
        <v>0</v>
      </c>
      <c r="F34" s="58"/>
      <c r="G34" s="58">
        <v>0</v>
      </c>
      <c r="H34" s="58"/>
      <c r="I34" s="136">
        <v>0</v>
      </c>
      <c r="J34" s="58"/>
      <c r="K34" s="58">
        <v>0</v>
      </c>
      <c r="L34" s="58"/>
      <c r="M34" s="172">
        <f>-4550.23354</f>
        <v>-4550.2335400000002</v>
      </c>
      <c r="N34" s="56"/>
      <c r="O34" s="136">
        <v>-4550.2335400000002</v>
      </c>
      <c r="P34" s="136">
        <v>-4550.2335400000002</v>
      </c>
      <c r="Q34" s="72"/>
      <c r="S34" s="135"/>
    </row>
    <row r="35" spans="1:19" x14ac:dyDescent="0.25">
      <c r="B35" s="55"/>
      <c r="C35" s="55"/>
      <c r="D35" s="55"/>
      <c r="E35" s="55"/>
      <c r="F35" s="62"/>
      <c r="Q35" s="72"/>
      <c r="R35" s="62"/>
      <c r="S35" s="135"/>
    </row>
    <row r="36" spans="1:19" x14ac:dyDescent="0.25">
      <c r="A36" s="57" t="s">
        <v>1727</v>
      </c>
      <c r="B36" s="55"/>
      <c r="C36" s="55"/>
      <c r="D36" s="55"/>
      <c r="E36" s="55"/>
      <c r="F36" s="58"/>
      <c r="G36" s="59"/>
      <c r="H36" s="59"/>
      <c r="I36" s="135"/>
      <c r="J36" s="58"/>
      <c r="K36" s="59"/>
      <c r="L36" s="58"/>
      <c r="M36" s="135"/>
      <c r="N36" s="55"/>
      <c r="O36" s="135"/>
      <c r="P36" s="135"/>
      <c r="Q36" s="72"/>
      <c r="S36" s="136"/>
    </row>
    <row r="37" spans="1:19" x14ac:dyDescent="0.25">
      <c r="A37" s="57" t="s">
        <v>1380</v>
      </c>
      <c r="B37" s="55"/>
      <c r="C37" s="56" t="e">
        <f>C28+C30</f>
        <v>#REF!</v>
      </c>
      <c r="D37" s="56"/>
      <c r="E37" s="56" t="e">
        <f>E28+E30</f>
        <v>#REF!</v>
      </c>
      <c r="F37" s="58"/>
      <c r="G37" s="58">
        <f>G28+G30</f>
        <v>-1315.6839599999985</v>
      </c>
      <c r="H37" s="58"/>
      <c r="I37" s="136">
        <f>I28+I30</f>
        <v>-7530.8706199999988</v>
      </c>
      <c r="J37" s="58"/>
      <c r="K37" s="58">
        <f>K28+K30</f>
        <v>-4993.912650000002</v>
      </c>
      <c r="L37" s="58"/>
      <c r="M37" s="136">
        <f>M28+M30</f>
        <v>-22150.053369999994</v>
      </c>
      <c r="N37" s="56"/>
      <c r="O37" s="136">
        <f>O28+O30</f>
        <v>-23577.64689</v>
      </c>
      <c r="P37" s="136">
        <f>P28+P30</f>
        <v>-22033.977890000002</v>
      </c>
      <c r="Q37" s="72"/>
      <c r="S37" s="135"/>
    </row>
    <row r="38" spans="1:19" x14ac:dyDescent="0.25">
      <c r="A38" s="57"/>
      <c r="B38" s="55"/>
      <c r="C38" s="55"/>
      <c r="D38" s="55"/>
      <c r="E38" s="55"/>
      <c r="F38" s="58"/>
      <c r="G38" s="59">
        <v>0</v>
      </c>
      <c r="H38" s="59"/>
      <c r="I38" s="135"/>
      <c r="J38" s="58"/>
      <c r="K38" s="59">
        <v>0</v>
      </c>
      <c r="L38" s="58"/>
      <c r="M38" s="135"/>
      <c r="N38" s="55"/>
      <c r="O38" s="135">
        <v>0</v>
      </c>
      <c r="P38" s="135">
        <v>0</v>
      </c>
      <c r="Q38" s="72"/>
      <c r="S38" s="137"/>
    </row>
    <row r="39" spans="1:19" x14ac:dyDescent="0.25">
      <c r="A39" s="51" t="s">
        <v>1728</v>
      </c>
      <c r="B39" s="55" t="s">
        <v>1729</v>
      </c>
      <c r="C39" s="61">
        <f>125613.81-9498.46</f>
        <v>116115.35</v>
      </c>
      <c r="D39" s="61"/>
      <c r="E39" s="61">
        <v>126550.15</v>
      </c>
      <c r="F39" s="62"/>
      <c r="G39" s="62">
        <f>(504672.54-957.29)/1000</f>
        <v>503.71525000000003</v>
      </c>
      <c r="H39" s="62"/>
      <c r="I39" s="137">
        <f>103.7576</f>
        <v>103.7576</v>
      </c>
      <c r="J39" s="62"/>
      <c r="K39" s="62">
        <v>911.23964000000001</v>
      </c>
      <c r="L39" s="62"/>
      <c r="M39" s="137">
        <f>377.36706</f>
        <v>377.36705999999998</v>
      </c>
      <c r="N39" s="61"/>
      <c r="O39" s="62">
        <v>436.15994999999998</v>
      </c>
      <c r="P39" s="62">
        <v>436.15994999999998</v>
      </c>
      <c r="Q39" s="72"/>
      <c r="S39" s="137"/>
    </row>
    <row r="40" spans="1:19" x14ac:dyDescent="0.25">
      <c r="A40" s="51" t="s">
        <v>1730</v>
      </c>
      <c r="B40" s="55" t="s">
        <v>1731</v>
      </c>
      <c r="C40" s="61">
        <v>-2575947.29</v>
      </c>
      <c r="D40" s="61"/>
      <c r="E40" s="61">
        <v>-1318966.04</v>
      </c>
      <c r="F40" s="62"/>
      <c r="G40" s="62">
        <f>-(1112444.12-127863.37)/1000</f>
        <v>-984.58075000000008</v>
      </c>
      <c r="H40" s="62"/>
      <c r="I40" s="137">
        <f>-1066.35328+0.17644</f>
        <v>-1066.1768400000001</v>
      </c>
      <c r="J40" s="62"/>
      <c r="K40" s="62">
        <v>-2161.7209200000002</v>
      </c>
      <c r="L40" s="62"/>
      <c r="M40" s="137">
        <f>-3015.76228</f>
        <v>-3015.7622799999999</v>
      </c>
      <c r="N40" s="61"/>
      <c r="O40" s="62">
        <v>-3799.6820400000001</v>
      </c>
      <c r="P40" s="62">
        <v>-3799.6820400000001</v>
      </c>
      <c r="Q40" s="72"/>
      <c r="S40" s="135"/>
    </row>
    <row r="41" spans="1:19" ht="15" hidden="1" customHeight="1" x14ac:dyDescent="0.25">
      <c r="B41" s="55"/>
      <c r="C41" s="55"/>
      <c r="D41" s="55"/>
      <c r="E41" s="55"/>
      <c r="F41" s="58"/>
      <c r="G41" s="59">
        <v>0</v>
      </c>
      <c r="H41" s="59"/>
      <c r="I41" s="135"/>
      <c r="J41" s="58"/>
      <c r="K41" s="59">
        <v>0</v>
      </c>
      <c r="L41" s="58"/>
      <c r="M41" s="135"/>
      <c r="N41" s="55"/>
      <c r="O41" s="59">
        <v>0</v>
      </c>
      <c r="P41" s="59">
        <v>0</v>
      </c>
      <c r="Q41" s="72"/>
      <c r="S41" s="135"/>
    </row>
    <row r="42" spans="1:19" x14ac:dyDescent="0.25">
      <c r="B42" s="55"/>
      <c r="C42" s="55"/>
      <c r="D42" s="55"/>
      <c r="E42" s="55"/>
      <c r="F42" s="58"/>
      <c r="G42" s="59">
        <v>0</v>
      </c>
      <c r="H42" s="59"/>
      <c r="I42" s="135"/>
      <c r="J42" s="58"/>
      <c r="K42" s="59">
        <v>0</v>
      </c>
      <c r="L42" s="58"/>
      <c r="M42" s="135"/>
      <c r="N42" s="55"/>
      <c r="O42" s="59">
        <v>0</v>
      </c>
      <c r="P42" s="59">
        <v>0</v>
      </c>
      <c r="Q42" s="72"/>
      <c r="S42" s="136"/>
    </row>
    <row r="43" spans="1:19" x14ac:dyDescent="0.25">
      <c r="A43" s="57" t="s">
        <v>1732</v>
      </c>
      <c r="B43" s="55"/>
      <c r="C43" s="56" t="e">
        <f>C37+C39+C40</f>
        <v>#REF!</v>
      </c>
      <c r="D43" s="56"/>
      <c r="E43" s="56" t="e">
        <f>E37+E39+E40</f>
        <v>#REF!</v>
      </c>
      <c r="F43" s="58"/>
      <c r="G43" s="58">
        <f>G37+G39+G40</f>
        <v>-1796.5494599999986</v>
      </c>
      <c r="H43" s="58"/>
      <c r="I43" s="136">
        <f>I37+I39+I40</f>
        <v>-8493.289859999999</v>
      </c>
      <c r="J43" s="58"/>
      <c r="K43" s="58">
        <f>K37+K39+K40</f>
        <v>-6244.393930000002</v>
      </c>
      <c r="L43" s="58"/>
      <c r="M43" s="136">
        <f>M37+M39+M40</f>
        <v>-24788.448589999993</v>
      </c>
      <c r="N43" s="56"/>
      <c r="O43" s="58">
        <f>O37+O39+O40</f>
        <v>-26941.168979999999</v>
      </c>
      <c r="P43" s="58">
        <f>P37+P39+P40</f>
        <v>-25397.499980000001</v>
      </c>
      <c r="Q43" s="72"/>
      <c r="S43" s="135"/>
    </row>
    <row r="44" spans="1:19" x14ac:dyDescent="0.25">
      <c r="A44" s="57"/>
      <c r="B44" s="55"/>
      <c r="C44" s="55"/>
      <c r="D44" s="55"/>
      <c r="E44" s="55"/>
      <c r="F44" s="58"/>
      <c r="G44" s="59">
        <v>0</v>
      </c>
      <c r="H44" s="59"/>
      <c r="I44" s="135"/>
      <c r="J44" s="58"/>
      <c r="K44" s="59">
        <v>0</v>
      </c>
      <c r="L44" s="58"/>
      <c r="M44" s="135"/>
      <c r="N44" s="55"/>
      <c r="O44" s="59">
        <v>0</v>
      </c>
      <c r="P44" s="59">
        <v>0</v>
      </c>
      <c r="Q44" s="72"/>
      <c r="S44" s="169"/>
    </row>
    <row r="45" spans="1:19" ht="17.25" x14ac:dyDescent="0.4">
      <c r="A45" s="57" t="s">
        <v>1733</v>
      </c>
      <c r="B45" s="55"/>
      <c r="C45" s="56">
        <v>0</v>
      </c>
      <c r="D45" s="56"/>
      <c r="E45" s="56">
        <v>0</v>
      </c>
      <c r="F45" s="63"/>
      <c r="G45" s="58">
        <v>0</v>
      </c>
      <c r="H45" s="58"/>
      <c r="I45" s="58"/>
      <c r="J45" s="63"/>
      <c r="K45" s="58">
        <v>0</v>
      </c>
      <c r="L45" s="64"/>
      <c r="M45" s="169"/>
      <c r="N45" s="56"/>
      <c r="O45" s="58">
        <v>0</v>
      </c>
      <c r="P45" s="58">
        <v>0</v>
      </c>
      <c r="Q45" s="72"/>
      <c r="S45" s="173"/>
    </row>
    <row r="46" spans="1:19" ht="15" hidden="1" customHeight="1" x14ac:dyDescent="0.25">
      <c r="A46" s="57" t="s">
        <v>1734</v>
      </c>
      <c r="B46" s="57"/>
      <c r="C46" s="57"/>
      <c r="D46" s="57"/>
      <c r="E46" s="57"/>
      <c r="F46" s="58"/>
      <c r="G46" s="65">
        <v>0</v>
      </c>
      <c r="H46" s="65"/>
      <c r="I46" s="173"/>
      <c r="J46" s="58"/>
      <c r="K46" s="65">
        <v>0</v>
      </c>
      <c r="L46" s="58"/>
      <c r="M46" s="173"/>
      <c r="N46" s="57"/>
      <c r="O46" s="65">
        <v>0</v>
      </c>
      <c r="P46" s="65">
        <v>0</v>
      </c>
      <c r="Q46" s="72"/>
      <c r="S46" s="173"/>
    </row>
    <row r="47" spans="1:19" ht="15" hidden="1" customHeight="1" x14ac:dyDescent="0.25">
      <c r="A47" s="57" t="s">
        <v>1735</v>
      </c>
      <c r="B47" s="57"/>
      <c r="C47" s="57"/>
      <c r="D47" s="57"/>
      <c r="E47" s="57"/>
      <c r="F47" s="58"/>
      <c r="G47" s="65">
        <v>0</v>
      </c>
      <c r="H47" s="65"/>
      <c r="I47" s="173"/>
      <c r="J47" s="58"/>
      <c r="K47" s="65">
        <v>0</v>
      </c>
      <c r="L47" s="58"/>
      <c r="M47" s="173"/>
      <c r="N47" s="57"/>
      <c r="O47" s="65">
        <v>0</v>
      </c>
      <c r="P47" s="65">
        <v>0</v>
      </c>
      <c r="Q47" s="72"/>
      <c r="S47" s="174"/>
    </row>
    <row r="48" spans="1:19" ht="15" hidden="1" customHeight="1" x14ac:dyDescent="0.25">
      <c r="A48" s="60"/>
      <c r="B48" s="60"/>
      <c r="C48" s="60"/>
      <c r="D48" s="60"/>
      <c r="E48" s="60"/>
      <c r="F48" s="58"/>
      <c r="G48" s="66">
        <v>0</v>
      </c>
      <c r="H48" s="66"/>
      <c r="I48" s="174"/>
      <c r="J48" s="58"/>
      <c r="K48" s="66">
        <v>0</v>
      </c>
      <c r="L48" s="58"/>
      <c r="M48" s="174"/>
      <c r="N48" s="60"/>
      <c r="O48" s="66">
        <v>0</v>
      </c>
      <c r="P48" s="66">
        <v>0</v>
      </c>
      <c r="Q48" s="72"/>
      <c r="S48" s="173"/>
    </row>
    <row r="49" spans="1:19" ht="15" hidden="1" customHeight="1" x14ac:dyDescent="0.25">
      <c r="A49" s="57" t="s">
        <v>1736</v>
      </c>
      <c r="B49" s="57"/>
      <c r="C49" s="57"/>
      <c r="D49" s="57"/>
      <c r="E49" s="57"/>
      <c r="F49" s="58"/>
      <c r="G49" s="65">
        <v>0</v>
      </c>
      <c r="H49" s="65"/>
      <c r="I49" s="173"/>
      <c r="J49" s="58"/>
      <c r="K49" s="65">
        <v>0</v>
      </c>
      <c r="L49" s="58"/>
      <c r="M49" s="173"/>
      <c r="N49" s="57"/>
      <c r="O49" s="65">
        <v>0</v>
      </c>
      <c r="P49" s="65">
        <v>0</v>
      </c>
      <c r="Q49" s="72"/>
      <c r="S49" s="137"/>
    </row>
    <row r="50" spans="1:19" ht="15" hidden="1" customHeight="1" x14ac:dyDescent="0.25">
      <c r="F50" s="58"/>
      <c r="G50" s="62">
        <v>0</v>
      </c>
      <c r="H50" s="62"/>
      <c r="I50" s="137"/>
      <c r="J50" s="58"/>
      <c r="K50" s="62">
        <v>0</v>
      </c>
      <c r="L50" s="58"/>
      <c r="M50" s="137"/>
      <c r="O50" s="62">
        <v>0</v>
      </c>
      <c r="P50" s="62">
        <v>0</v>
      </c>
      <c r="Q50" s="72"/>
      <c r="S50" s="137"/>
    </row>
    <row r="51" spans="1:19" x14ac:dyDescent="0.25">
      <c r="A51" s="51" t="s">
        <v>54</v>
      </c>
      <c r="F51" s="58"/>
      <c r="G51" s="62">
        <v>0</v>
      </c>
      <c r="H51" s="62"/>
      <c r="I51" s="137"/>
      <c r="J51" s="58"/>
      <c r="K51" s="62">
        <v>0</v>
      </c>
      <c r="L51" s="58"/>
      <c r="M51" s="137"/>
      <c r="O51" s="67"/>
      <c r="P51" s="67"/>
      <c r="Q51" s="72"/>
      <c r="S51" s="138"/>
    </row>
    <row r="52" spans="1:19" x14ac:dyDescent="0.25">
      <c r="A52" s="57" t="s">
        <v>1737</v>
      </c>
      <c r="B52" s="55" t="s">
        <v>1795</v>
      </c>
      <c r="C52" s="56" t="e">
        <f>C43+C45</f>
        <v>#REF!</v>
      </c>
      <c r="D52" s="56"/>
      <c r="E52" s="56" t="e">
        <f>E43+E45</f>
        <v>#REF!</v>
      </c>
      <c r="F52" s="67"/>
      <c r="G52" s="67">
        <f>G43+G45</f>
        <v>-1796.5494599999986</v>
      </c>
      <c r="H52" s="67"/>
      <c r="I52" s="138">
        <f>I43+I45</f>
        <v>-8493.289859999999</v>
      </c>
      <c r="J52" s="67"/>
      <c r="K52" s="67">
        <f>K43+K45</f>
        <v>-6244.393930000002</v>
      </c>
      <c r="L52" s="58"/>
      <c r="M52" s="138">
        <f>M43+M45</f>
        <v>-24788.448589999993</v>
      </c>
      <c r="N52" s="56"/>
      <c r="O52" s="138">
        <f>O43+O45</f>
        <v>-26941.168979999999</v>
      </c>
      <c r="P52" s="138">
        <f>P43+P45</f>
        <v>-25397.499980000001</v>
      </c>
      <c r="S52" s="138"/>
    </row>
    <row r="53" spans="1:19" x14ac:dyDescent="0.25">
      <c r="A53" s="57"/>
      <c r="B53" s="57"/>
      <c r="C53" s="56"/>
      <c r="D53" s="56"/>
      <c r="E53" s="56"/>
      <c r="F53" s="67"/>
      <c r="G53" s="67"/>
      <c r="H53" s="67"/>
      <c r="J53" s="67"/>
      <c r="K53" s="67"/>
      <c r="L53" s="56"/>
    </row>
    <row r="54" spans="1:19" x14ac:dyDescent="0.25">
      <c r="A54" s="68"/>
      <c r="B54" s="68"/>
      <c r="C54" s="69"/>
      <c r="D54" s="68"/>
      <c r="E54" s="68"/>
      <c r="F54" s="70"/>
      <c r="G54" s="70"/>
      <c r="H54" s="70"/>
      <c r="I54" s="138"/>
      <c r="J54" s="70"/>
      <c r="K54" s="70"/>
      <c r="L54" s="69"/>
    </row>
    <row r="55" spans="1:19" ht="15" customHeight="1" x14ac:dyDescent="0.25">
      <c r="A55" s="387" t="s">
        <v>53</v>
      </c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</row>
    <row r="56" spans="1:19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L56" s="68"/>
    </row>
    <row r="57" spans="1:19" x14ac:dyDescent="0.25">
      <c r="A57" s="68"/>
      <c r="B57" s="68"/>
      <c r="C57" s="68"/>
      <c r="D57" s="68"/>
      <c r="E57" s="68"/>
      <c r="F57" s="68"/>
      <c r="G57" s="71"/>
      <c r="H57" s="71"/>
      <c r="I57" s="71"/>
      <c r="J57" s="68"/>
      <c r="L57" s="68"/>
      <c r="Q57" s="72"/>
    </row>
    <row r="58" spans="1:19" x14ac:dyDescent="0.25">
      <c r="A58" s="388"/>
      <c r="B58" s="388"/>
      <c r="C58" s="388"/>
      <c r="D58" s="388"/>
      <c r="E58" s="388"/>
      <c r="G58" s="72"/>
      <c r="H58" s="72"/>
      <c r="I58" s="72"/>
      <c r="K58" s="73"/>
      <c r="Q58" s="72"/>
    </row>
    <row r="59" spans="1:19" x14ac:dyDescent="0.25">
      <c r="A59" s="68"/>
      <c r="B59" s="68"/>
      <c r="C59" s="71"/>
      <c r="D59" s="71"/>
      <c r="E59" s="71"/>
      <c r="F59" s="68"/>
      <c r="G59" s="68"/>
      <c r="H59" s="68"/>
      <c r="I59" s="68"/>
      <c r="J59" s="68"/>
      <c r="K59" s="73"/>
      <c r="L59" s="68"/>
    </row>
    <row r="60" spans="1:19" x14ac:dyDescent="0.25">
      <c r="G60" s="72"/>
      <c r="H60" s="72"/>
      <c r="I60" s="72"/>
    </row>
    <row r="61" spans="1:19" x14ac:dyDescent="0.25">
      <c r="A61" s="68"/>
      <c r="B61" s="68"/>
      <c r="C61" s="71"/>
      <c r="D61" s="71"/>
      <c r="E61" s="71"/>
      <c r="F61" s="68"/>
      <c r="G61" s="68"/>
      <c r="H61" s="68"/>
      <c r="I61" s="68"/>
      <c r="J61" s="68"/>
      <c r="L61" s="68"/>
    </row>
    <row r="62" spans="1:19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L62" s="68"/>
    </row>
    <row r="63" spans="1:19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L63" s="68"/>
    </row>
    <row r="64" spans="1:19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L64" s="68"/>
    </row>
    <row r="68" spans="1:12" x14ac:dyDescent="0.25">
      <c r="A68" s="123"/>
      <c r="B68" s="123"/>
      <c r="C68" s="123"/>
      <c r="D68" s="123"/>
      <c r="E68" s="123"/>
      <c r="F68" s="123"/>
      <c r="G68" s="123"/>
      <c r="H68" s="165"/>
      <c r="I68" s="165"/>
      <c r="J68" s="123"/>
      <c r="L68" s="123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tabSelected="1" topLeftCell="A13" zoomScale="98" zoomScaleNormal="98" zoomScaleSheetLayoutView="100" workbookViewId="0">
      <selection activeCell="B55" sqref="B55"/>
    </sheetView>
  </sheetViews>
  <sheetFormatPr defaultColWidth="11.42578125" defaultRowHeight="15" x14ac:dyDescent="0.25"/>
  <cols>
    <col min="1" max="1" width="44.85546875" style="51" customWidth="1"/>
    <col min="2" max="2" width="12.5703125" style="51" customWidth="1"/>
    <col min="3" max="3" width="12.5703125" style="51" hidden="1" customWidth="1"/>
    <col min="4" max="4" width="2.140625" style="51" hidden="1" customWidth="1"/>
    <col min="5" max="5" width="12.5703125" style="51" hidden="1" customWidth="1"/>
    <col min="6" max="9" width="2.28515625" style="51" customWidth="1"/>
    <col min="10" max="10" width="18.140625" style="51" bestFit="1" customWidth="1"/>
    <col min="11" max="11" width="2.28515625" style="51" customWidth="1"/>
    <col min="12" max="12" width="18.140625" style="51" bestFit="1" customWidth="1"/>
    <col min="13" max="13" width="2.28515625" style="51" customWidth="1"/>
    <col min="14" max="215" width="11.42578125" style="51"/>
    <col min="216" max="216" width="44.85546875" style="51" customWidth="1"/>
    <col min="217" max="217" width="12.5703125" style="51" customWidth="1"/>
    <col min="218" max="220" width="0" style="51" hidden="1" customWidth="1"/>
    <col min="221" max="223" width="2.28515625" style="51" customWidth="1"/>
    <col min="224" max="224" width="14.5703125" style="51" customWidth="1"/>
    <col min="225" max="225" width="2.28515625" style="51" customWidth="1"/>
    <col min="226" max="226" width="14.5703125" style="51" customWidth="1"/>
    <col min="227" max="227" width="2.28515625" style="51" customWidth="1"/>
    <col min="228" max="471" width="11.42578125" style="51"/>
    <col min="472" max="472" width="44.85546875" style="51" customWidth="1"/>
    <col min="473" max="473" width="12.5703125" style="51" customWidth="1"/>
    <col min="474" max="476" width="0" style="51" hidden="1" customWidth="1"/>
    <col min="477" max="479" width="2.28515625" style="51" customWidth="1"/>
    <col min="480" max="480" width="14.5703125" style="51" customWidth="1"/>
    <col min="481" max="481" width="2.28515625" style="51" customWidth="1"/>
    <col min="482" max="482" width="14.5703125" style="51" customWidth="1"/>
    <col min="483" max="483" width="2.28515625" style="51" customWidth="1"/>
    <col min="484" max="727" width="11.42578125" style="51"/>
    <col min="728" max="728" width="44.85546875" style="51" customWidth="1"/>
    <col min="729" max="729" width="12.5703125" style="51" customWidth="1"/>
    <col min="730" max="732" width="0" style="51" hidden="1" customWidth="1"/>
    <col min="733" max="735" width="2.28515625" style="51" customWidth="1"/>
    <col min="736" max="736" width="14.5703125" style="51" customWidth="1"/>
    <col min="737" max="737" width="2.28515625" style="51" customWidth="1"/>
    <col min="738" max="738" width="14.5703125" style="51" customWidth="1"/>
    <col min="739" max="739" width="2.28515625" style="51" customWidth="1"/>
    <col min="740" max="983" width="11.42578125" style="51"/>
    <col min="984" max="984" width="44.85546875" style="51" customWidth="1"/>
    <col min="985" max="985" width="12.5703125" style="51" customWidth="1"/>
    <col min="986" max="988" width="0" style="51" hidden="1" customWidth="1"/>
    <col min="989" max="991" width="2.28515625" style="51" customWidth="1"/>
    <col min="992" max="992" width="14.5703125" style="51" customWidth="1"/>
    <col min="993" max="993" width="2.28515625" style="51" customWidth="1"/>
    <col min="994" max="994" width="14.5703125" style="51" customWidth="1"/>
    <col min="995" max="995" width="2.28515625" style="51" customWidth="1"/>
    <col min="996" max="1239" width="11.42578125" style="51"/>
    <col min="1240" max="1240" width="44.85546875" style="51" customWidth="1"/>
    <col min="1241" max="1241" width="12.5703125" style="51" customWidth="1"/>
    <col min="1242" max="1244" width="0" style="51" hidden="1" customWidth="1"/>
    <col min="1245" max="1247" width="2.28515625" style="51" customWidth="1"/>
    <col min="1248" max="1248" width="14.5703125" style="51" customWidth="1"/>
    <col min="1249" max="1249" width="2.28515625" style="51" customWidth="1"/>
    <col min="1250" max="1250" width="14.5703125" style="51" customWidth="1"/>
    <col min="1251" max="1251" width="2.28515625" style="51" customWidth="1"/>
    <col min="1252" max="1495" width="11.42578125" style="51"/>
    <col min="1496" max="1496" width="44.85546875" style="51" customWidth="1"/>
    <col min="1497" max="1497" width="12.5703125" style="51" customWidth="1"/>
    <col min="1498" max="1500" width="0" style="51" hidden="1" customWidth="1"/>
    <col min="1501" max="1503" width="2.28515625" style="51" customWidth="1"/>
    <col min="1504" max="1504" width="14.5703125" style="51" customWidth="1"/>
    <col min="1505" max="1505" width="2.28515625" style="51" customWidth="1"/>
    <col min="1506" max="1506" width="14.5703125" style="51" customWidth="1"/>
    <col min="1507" max="1507" width="2.28515625" style="51" customWidth="1"/>
    <col min="1508" max="1751" width="11.42578125" style="51"/>
    <col min="1752" max="1752" width="44.85546875" style="51" customWidth="1"/>
    <col min="1753" max="1753" width="12.5703125" style="51" customWidth="1"/>
    <col min="1754" max="1756" width="0" style="51" hidden="1" customWidth="1"/>
    <col min="1757" max="1759" width="2.28515625" style="51" customWidth="1"/>
    <col min="1760" max="1760" width="14.5703125" style="51" customWidth="1"/>
    <col min="1761" max="1761" width="2.28515625" style="51" customWidth="1"/>
    <col min="1762" max="1762" width="14.5703125" style="51" customWidth="1"/>
    <col min="1763" max="1763" width="2.28515625" style="51" customWidth="1"/>
    <col min="1764" max="2007" width="11.42578125" style="51"/>
    <col min="2008" max="2008" width="44.85546875" style="51" customWidth="1"/>
    <col min="2009" max="2009" width="12.5703125" style="51" customWidth="1"/>
    <col min="2010" max="2012" width="0" style="51" hidden="1" customWidth="1"/>
    <col min="2013" max="2015" width="2.28515625" style="51" customWidth="1"/>
    <col min="2016" max="2016" width="14.5703125" style="51" customWidth="1"/>
    <col min="2017" max="2017" width="2.28515625" style="51" customWidth="1"/>
    <col min="2018" max="2018" width="14.5703125" style="51" customWidth="1"/>
    <col min="2019" max="2019" width="2.28515625" style="51" customWidth="1"/>
    <col min="2020" max="2263" width="11.42578125" style="51"/>
    <col min="2264" max="2264" width="44.85546875" style="51" customWidth="1"/>
    <col min="2265" max="2265" width="12.5703125" style="51" customWidth="1"/>
    <col min="2266" max="2268" width="0" style="51" hidden="1" customWidth="1"/>
    <col min="2269" max="2271" width="2.28515625" style="51" customWidth="1"/>
    <col min="2272" max="2272" width="14.5703125" style="51" customWidth="1"/>
    <col min="2273" max="2273" width="2.28515625" style="51" customWidth="1"/>
    <col min="2274" max="2274" width="14.5703125" style="51" customWidth="1"/>
    <col min="2275" max="2275" width="2.28515625" style="51" customWidth="1"/>
    <col min="2276" max="2519" width="11.42578125" style="51"/>
    <col min="2520" max="2520" width="44.85546875" style="51" customWidth="1"/>
    <col min="2521" max="2521" width="12.5703125" style="51" customWidth="1"/>
    <col min="2522" max="2524" width="0" style="51" hidden="1" customWidth="1"/>
    <col min="2525" max="2527" width="2.28515625" style="51" customWidth="1"/>
    <col min="2528" max="2528" width="14.5703125" style="51" customWidth="1"/>
    <col min="2529" max="2529" width="2.28515625" style="51" customWidth="1"/>
    <col min="2530" max="2530" width="14.5703125" style="51" customWidth="1"/>
    <col min="2531" max="2531" width="2.28515625" style="51" customWidth="1"/>
    <col min="2532" max="2775" width="11.42578125" style="51"/>
    <col min="2776" max="2776" width="44.85546875" style="51" customWidth="1"/>
    <col min="2777" max="2777" width="12.5703125" style="51" customWidth="1"/>
    <col min="2778" max="2780" width="0" style="51" hidden="1" customWidth="1"/>
    <col min="2781" max="2783" width="2.28515625" style="51" customWidth="1"/>
    <col min="2784" max="2784" width="14.5703125" style="51" customWidth="1"/>
    <col min="2785" max="2785" width="2.28515625" style="51" customWidth="1"/>
    <col min="2786" max="2786" width="14.5703125" style="51" customWidth="1"/>
    <col min="2787" max="2787" width="2.28515625" style="51" customWidth="1"/>
    <col min="2788" max="3031" width="11.42578125" style="51"/>
    <col min="3032" max="3032" width="44.85546875" style="51" customWidth="1"/>
    <col min="3033" max="3033" width="12.5703125" style="51" customWidth="1"/>
    <col min="3034" max="3036" width="0" style="51" hidden="1" customWidth="1"/>
    <col min="3037" max="3039" width="2.28515625" style="51" customWidth="1"/>
    <col min="3040" max="3040" width="14.5703125" style="51" customWidth="1"/>
    <col min="3041" max="3041" width="2.28515625" style="51" customWidth="1"/>
    <col min="3042" max="3042" width="14.5703125" style="51" customWidth="1"/>
    <col min="3043" max="3043" width="2.28515625" style="51" customWidth="1"/>
    <col min="3044" max="3287" width="11.42578125" style="51"/>
    <col min="3288" max="3288" width="44.85546875" style="51" customWidth="1"/>
    <col min="3289" max="3289" width="12.5703125" style="51" customWidth="1"/>
    <col min="3290" max="3292" width="0" style="51" hidden="1" customWidth="1"/>
    <col min="3293" max="3295" width="2.28515625" style="51" customWidth="1"/>
    <col min="3296" max="3296" width="14.5703125" style="51" customWidth="1"/>
    <col min="3297" max="3297" width="2.28515625" style="51" customWidth="1"/>
    <col min="3298" max="3298" width="14.5703125" style="51" customWidth="1"/>
    <col min="3299" max="3299" width="2.28515625" style="51" customWidth="1"/>
    <col min="3300" max="3543" width="11.42578125" style="51"/>
    <col min="3544" max="3544" width="44.85546875" style="51" customWidth="1"/>
    <col min="3545" max="3545" width="12.5703125" style="51" customWidth="1"/>
    <col min="3546" max="3548" width="0" style="51" hidden="1" customWidth="1"/>
    <col min="3549" max="3551" width="2.28515625" style="51" customWidth="1"/>
    <col min="3552" max="3552" width="14.5703125" style="51" customWidth="1"/>
    <col min="3553" max="3553" width="2.28515625" style="51" customWidth="1"/>
    <col min="3554" max="3554" width="14.5703125" style="51" customWidth="1"/>
    <col min="3555" max="3555" width="2.28515625" style="51" customWidth="1"/>
    <col min="3556" max="3799" width="11.42578125" style="51"/>
    <col min="3800" max="3800" width="44.85546875" style="51" customWidth="1"/>
    <col min="3801" max="3801" width="12.5703125" style="51" customWidth="1"/>
    <col min="3802" max="3804" width="0" style="51" hidden="1" customWidth="1"/>
    <col min="3805" max="3807" width="2.28515625" style="51" customWidth="1"/>
    <col min="3808" max="3808" width="14.5703125" style="51" customWidth="1"/>
    <col min="3809" max="3809" width="2.28515625" style="51" customWidth="1"/>
    <col min="3810" max="3810" width="14.5703125" style="51" customWidth="1"/>
    <col min="3811" max="3811" width="2.28515625" style="51" customWidth="1"/>
    <col min="3812" max="4055" width="11.42578125" style="51"/>
    <col min="4056" max="4056" width="44.85546875" style="51" customWidth="1"/>
    <col min="4057" max="4057" width="12.5703125" style="51" customWidth="1"/>
    <col min="4058" max="4060" width="0" style="51" hidden="1" customWidth="1"/>
    <col min="4061" max="4063" width="2.28515625" style="51" customWidth="1"/>
    <col min="4064" max="4064" width="14.5703125" style="51" customWidth="1"/>
    <col min="4065" max="4065" width="2.28515625" style="51" customWidth="1"/>
    <col min="4066" max="4066" width="14.5703125" style="51" customWidth="1"/>
    <col min="4067" max="4067" width="2.28515625" style="51" customWidth="1"/>
    <col min="4068" max="4311" width="11.42578125" style="51"/>
    <col min="4312" max="4312" width="44.85546875" style="51" customWidth="1"/>
    <col min="4313" max="4313" width="12.5703125" style="51" customWidth="1"/>
    <col min="4314" max="4316" width="0" style="51" hidden="1" customWidth="1"/>
    <col min="4317" max="4319" width="2.28515625" style="51" customWidth="1"/>
    <col min="4320" max="4320" width="14.5703125" style="51" customWidth="1"/>
    <col min="4321" max="4321" width="2.28515625" style="51" customWidth="1"/>
    <col min="4322" max="4322" width="14.5703125" style="51" customWidth="1"/>
    <col min="4323" max="4323" width="2.28515625" style="51" customWidth="1"/>
    <col min="4324" max="4567" width="11.42578125" style="51"/>
    <col min="4568" max="4568" width="44.85546875" style="51" customWidth="1"/>
    <col min="4569" max="4569" width="12.5703125" style="51" customWidth="1"/>
    <col min="4570" max="4572" width="0" style="51" hidden="1" customWidth="1"/>
    <col min="4573" max="4575" width="2.28515625" style="51" customWidth="1"/>
    <col min="4576" max="4576" width="14.5703125" style="51" customWidth="1"/>
    <col min="4577" max="4577" width="2.28515625" style="51" customWidth="1"/>
    <col min="4578" max="4578" width="14.5703125" style="51" customWidth="1"/>
    <col min="4579" max="4579" width="2.28515625" style="51" customWidth="1"/>
    <col min="4580" max="4823" width="11.42578125" style="51"/>
    <col min="4824" max="4824" width="44.85546875" style="51" customWidth="1"/>
    <col min="4825" max="4825" width="12.5703125" style="51" customWidth="1"/>
    <col min="4826" max="4828" width="0" style="51" hidden="1" customWidth="1"/>
    <col min="4829" max="4831" width="2.28515625" style="51" customWidth="1"/>
    <col min="4832" max="4832" width="14.5703125" style="51" customWidth="1"/>
    <col min="4833" max="4833" width="2.28515625" style="51" customWidth="1"/>
    <col min="4834" max="4834" width="14.5703125" style="51" customWidth="1"/>
    <col min="4835" max="4835" width="2.28515625" style="51" customWidth="1"/>
    <col min="4836" max="5079" width="11.42578125" style="51"/>
    <col min="5080" max="5080" width="44.85546875" style="51" customWidth="1"/>
    <col min="5081" max="5081" width="12.5703125" style="51" customWidth="1"/>
    <col min="5082" max="5084" width="0" style="51" hidden="1" customWidth="1"/>
    <col min="5085" max="5087" width="2.28515625" style="51" customWidth="1"/>
    <col min="5088" max="5088" width="14.5703125" style="51" customWidth="1"/>
    <col min="5089" max="5089" width="2.28515625" style="51" customWidth="1"/>
    <col min="5090" max="5090" width="14.5703125" style="51" customWidth="1"/>
    <col min="5091" max="5091" width="2.28515625" style="51" customWidth="1"/>
    <col min="5092" max="5335" width="11.42578125" style="51"/>
    <col min="5336" max="5336" width="44.85546875" style="51" customWidth="1"/>
    <col min="5337" max="5337" width="12.5703125" style="51" customWidth="1"/>
    <col min="5338" max="5340" width="0" style="51" hidden="1" customWidth="1"/>
    <col min="5341" max="5343" width="2.28515625" style="51" customWidth="1"/>
    <col min="5344" max="5344" width="14.5703125" style="51" customWidth="1"/>
    <col min="5345" max="5345" width="2.28515625" style="51" customWidth="1"/>
    <col min="5346" max="5346" width="14.5703125" style="51" customWidth="1"/>
    <col min="5347" max="5347" width="2.28515625" style="51" customWidth="1"/>
    <col min="5348" max="5591" width="11.42578125" style="51"/>
    <col min="5592" max="5592" width="44.85546875" style="51" customWidth="1"/>
    <col min="5593" max="5593" width="12.5703125" style="51" customWidth="1"/>
    <col min="5594" max="5596" width="0" style="51" hidden="1" customWidth="1"/>
    <col min="5597" max="5599" width="2.28515625" style="51" customWidth="1"/>
    <col min="5600" max="5600" width="14.5703125" style="51" customWidth="1"/>
    <col min="5601" max="5601" width="2.28515625" style="51" customWidth="1"/>
    <col min="5602" max="5602" width="14.5703125" style="51" customWidth="1"/>
    <col min="5603" max="5603" width="2.28515625" style="51" customWidth="1"/>
    <col min="5604" max="5847" width="11.42578125" style="51"/>
    <col min="5848" max="5848" width="44.85546875" style="51" customWidth="1"/>
    <col min="5849" max="5849" width="12.5703125" style="51" customWidth="1"/>
    <col min="5850" max="5852" width="0" style="51" hidden="1" customWidth="1"/>
    <col min="5853" max="5855" width="2.28515625" style="51" customWidth="1"/>
    <col min="5856" max="5856" width="14.5703125" style="51" customWidth="1"/>
    <col min="5857" max="5857" width="2.28515625" style="51" customWidth="1"/>
    <col min="5858" max="5858" width="14.5703125" style="51" customWidth="1"/>
    <col min="5859" max="5859" width="2.28515625" style="51" customWidth="1"/>
    <col min="5860" max="6103" width="11.42578125" style="51"/>
    <col min="6104" max="6104" width="44.85546875" style="51" customWidth="1"/>
    <col min="6105" max="6105" width="12.5703125" style="51" customWidth="1"/>
    <col min="6106" max="6108" width="0" style="51" hidden="1" customWidth="1"/>
    <col min="6109" max="6111" width="2.28515625" style="51" customWidth="1"/>
    <col min="6112" max="6112" width="14.5703125" style="51" customWidth="1"/>
    <col min="6113" max="6113" width="2.28515625" style="51" customWidth="1"/>
    <col min="6114" max="6114" width="14.5703125" style="51" customWidth="1"/>
    <col min="6115" max="6115" width="2.28515625" style="51" customWidth="1"/>
    <col min="6116" max="6359" width="11.42578125" style="51"/>
    <col min="6360" max="6360" width="44.85546875" style="51" customWidth="1"/>
    <col min="6361" max="6361" width="12.5703125" style="51" customWidth="1"/>
    <col min="6362" max="6364" width="0" style="51" hidden="1" customWidth="1"/>
    <col min="6365" max="6367" width="2.28515625" style="51" customWidth="1"/>
    <col min="6368" max="6368" width="14.5703125" style="51" customWidth="1"/>
    <col min="6369" max="6369" width="2.28515625" style="51" customWidth="1"/>
    <col min="6370" max="6370" width="14.5703125" style="51" customWidth="1"/>
    <col min="6371" max="6371" width="2.28515625" style="51" customWidth="1"/>
    <col min="6372" max="6615" width="11.42578125" style="51"/>
    <col min="6616" max="6616" width="44.85546875" style="51" customWidth="1"/>
    <col min="6617" max="6617" width="12.5703125" style="51" customWidth="1"/>
    <col min="6618" max="6620" width="0" style="51" hidden="1" customWidth="1"/>
    <col min="6621" max="6623" width="2.28515625" style="51" customWidth="1"/>
    <col min="6624" max="6624" width="14.5703125" style="51" customWidth="1"/>
    <col min="6625" max="6625" width="2.28515625" style="51" customWidth="1"/>
    <col min="6626" max="6626" width="14.5703125" style="51" customWidth="1"/>
    <col min="6627" max="6627" width="2.28515625" style="51" customWidth="1"/>
    <col min="6628" max="6871" width="11.42578125" style="51"/>
    <col min="6872" max="6872" width="44.85546875" style="51" customWidth="1"/>
    <col min="6873" max="6873" width="12.5703125" style="51" customWidth="1"/>
    <col min="6874" max="6876" width="0" style="51" hidden="1" customWidth="1"/>
    <col min="6877" max="6879" width="2.28515625" style="51" customWidth="1"/>
    <col min="6880" max="6880" width="14.5703125" style="51" customWidth="1"/>
    <col min="6881" max="6881" width="2.28515625" style="51" customWidth="1"/>
    <col min="6882" max="6882" width="14.5703125" style="51" customWidth="1"/>
    <col min="6883" max="6883" width="2.28515625" style="51" customWidth="1"/>
    <col min="6884" max="7127" width="11.42578125" style="51"/>
    <col min="7128" max="7128" width="44.85546875" style="51" customWidth="1"/>
    <col min="7129" max="7129" width="12.5703125" style="51" customWidth="1"/>
    <col min="7130" max="7132" width="0" style="51" hidden="1" customWidth="1"/>
    <col min="7133" max="7135" width="2.28515625" style="51" customWidth="1"/>
    <col min="7136" max="7136" width="14.5703125" style="51" customWidth="1"/>
    <col min="7137" max="7137" width="2.28515625" style="51" customWidth="1"/>
    <col min="7138" max="7138" width="14.5703125" style="51" customWidth="1"/>
    <col min="7139" max="7139" width="2.28515625" style="51" customWidth="1"/>
    <col min="7140" max="7383" width="11.42578125" style="51"/>
    <col min="7384" max="7384" width="44.85546875" style="51" customWidth="1"/>
    <col min="7385" max="7385" width="12.5703125" style="51" customWidth="1"/>
    <col min="7386" max="7388" width="0" style="51" hidden="1" customWidth="1"/>
    <col min="7389" max="7391" width="2.28515625" style="51" customWidth="1"/>
    <col min="7392" max="7392" width="14.5703125" style="51" customWidth="1"/>
    <col min="7393" max="7393" width="2.28515625" style="51" customWidth="1"/>
    <col min="7394" max="7394" width="14.5703125" style="51" customWidth="1"/>
    <col min="7395" max="7395" width="2.28515625" style="51" customWidth="1"/>
    <col min="7396" max="7639" width="11.42578125" style="51"/>
    <col min="7640" max="7640" width="44.85546875" style="51" customWidth="1"/>
    <col min="7641" max="7641" width="12.5703125" style="51" customWidth="1"/>
    <col min="7642" max="7644" width="0" style="51" hidden="1" customWidth="1"/>
    <col min="7645" max="7647" width="2.28515625" style="51" customWidth="1"/>
    <col min="7648" max="7648" width="14.5703125" style="51" customWidth="1"/>
    <col min="7649" max="7649" width="2.28515625" style="51" customWidth="1"/>
    <col min="7650" max="7650" width="14.5703125" style="51" customWidth="1"/>
    <col min="7651" max="7651" width="2.28515625" style="51" customWidth="1"/>
    <col min="7652" max="7895" width="11.42578125" style="51"/>
    <col min="7896" max="7896" width="44.85546875" style="51" customWidth="1"/>
    <col min="7897" max="7897" width="12.5703125" style="51" customWidth="1"/>
    <col min="7898" max="7900" width="0" style="51" hidden="1" customWidth="1"/>
    <col min="7901" max="7903" width="2.28515625" style="51" customWidth="1"/>
    <col min="7904" max="7904" width="14.5703125" style="51" customWidth="1"/>
    <col min="7905" max="7905" width="2.28515625" style="51" customWidth="1"/>
    <col min="7906" max="7906" width="14.5703125" style="51" customWidth="1"/>
    <col min="7907" max="7907" width="2.28515625" style="51" customWidth="1"/>
    <col min="7908" max="8151" width="11.42578125" style="51"/>
    <col min="8152" max="8152" width="44.85546875" style="51" customWidth="1"/>
    <col min="8153" max="8153" width="12.5703125" style="51" customWidth="1"/>
    <col min="8154" max="8156" width="0" style="51" hidden="1" customWidth="1"/>
    <col min="8157" max="8159" width="2.28515625" style="51" customWidth="1"/>
    <col min="8160" max="8160" width="14.5703125" style="51" customWidth="1"/>
    <col min="8161" max="8161" width="2.28515625" style="51" customWidth="1"/>
    <col min="8162" max="8162" width="14.5703125" style="51" customWidth="1"/>
    <col min="8163" max="8163" width="2.28515625" style="51" customWidth="1"/>
    <col min="8164" max="8407" width="11.42578125" style="51"/>
    <col min="8408" max="8408" width="44.85546875" style="51" customWidth="1"/>
    <col min="8409" max="8409" width="12.5703125" style="51" customWidth="1"/>
    <col min="8410" max="8412" width="0" style="51" hidden="1" customWidth="1"/>
    <col min="8413" max="8415" width="2.28515625" style="51" customWidth="1"/>
    <col min="8416" max="8416" width="14.5703125" style="51" customWidth="1"/>
    <col min="8417" max="8417" width="2.28515625" style="51" customWidth="1"/>
    <col min="8418" max="8418" width="14.5703125" style="51" customWidth="1"/>
    <col min="8419" max="8419" width="2.28515625" style="51" customWidth="1"/>
    <col min="8420" max="8663" width="11.42578125" style="51"/>
    <col min="8664" max="8664" width="44.85546875" style="51" customWidth="1"/>
    <col min="8665" max="8665" width="12.5703125" style="51" customWidth="1"/>
    <col min="8666" max="8668" width="0" style="51" hidden="1" customWidth="1"/>
    <col min="8669" max="8671" width="2.28515625" style="51" customWidth="1"/>
    <col min="8672" max="8672" width="14.5703125" style="51" customWidth="1"/>
    <col min="8673" max="8673" width="2.28515625" style="51" customWidth="1"/>
    <col min="8674" max="8674" width="14.5703125" style="51" customWidth="1"/>
    <col min="8675" max="8675" width="2.28515625" style="51" customWidth="1"/>
    <col min="8676" max="8919" width="11.42578125" style="51"/>
    <col min="8920" max="8920" width="44.85546875" style="51" customWidth="1"/>
    <col min="8921" max="8921" width="12.5703125" style="51" customWidth="1"/>
    <col min="8922" max="8924" width="0" style="51" hidden="1" customWidth="1"/>
    <col min="8925" max="8927" width="2.28515625" style="51" customWidth="1"/>
    <col min="8928" max="8928" width="14.5703125" style="51" customWidth="1"/>
    <col min="8929" max="8929" width="2.28515625" style="51" customWidth="1"/>
    <col min="8930" max="8930" width="14.5703125" style="51" customWidth="1"/>
    <col min="8931" max="8931" width="2.28515625" style="51" customWidth="1"/>
    <col min="8932" max="9175" width="11.42578125" style="51"/>
    <col min="9176" max="9176" width="44.85546875" style="51" customWidth="1"/>
    <col min="9177" max="9177" width="12.5703125" style="51" customWidth="1"/>
    <col min="9178" max="9180" width="0" style="51" hidden="1" customWidth="1"/>
    <col min="9181" max="9183" width="2.28515625" style="51" customWidth="1"/>
    <col min="9184" max="9184" width="14.5703125" style="51" customWidth="1"/>
    <col min="9185" max="9185" width="2.28515625" style="51" customWidth="1"/>
    <col min="9186" max="9186" width="14.5703125" style="51" customWidth="1"/>
    <col min="9187" max="9187" width="2.28515625" style="51" customWidth="1"/>
    <col min="9188" max="9431" width="11.42578125" style="51"/>
    <col min="9432" max="9432" width="44.85546875" style="51" customWidth="1"/>
    <col min="9433" max="9433" width="12.5703125" style="51" customWidth="1"/>
    <col min="9434" max="9436" width="0" style="51" hidden="1" customWidth="1"/>
    <col min="9437" max="9439" width="2.28515625" style="51" customWidth="1"/>
    <col min="9440" max="9440" width="14.5703125" style="51" customWidth="1"/>
    <col min="9441" max="9441" width="2.28515625" style="51" customWidth="1"/>
    <col min="9442" max="9442" width="14.5703125" style="51" customWidth="1"/>
    <col min="9443" max="9443" width="2.28515625" style="51" customWidth="1"/>
    <col min="9444" max="9687" width="11.42578125" style="51"/>
    <col min="9688" max="9688" width="44.85546875" style="51" customWidth="1"/>
    <col min="9689" max="9689" width="12.5703125" style="51" customWidth="1"/>
    <col min="9690" max="9692" width="0" style="51" hidden="1" customWidth="1"/>
    <col min="9693" max="9695" width="2.28515625" style="51" customWidth="1"/>
    <col min="9696" max="9696" width="14.5703125" style="51" customWidth="1"/>
    <col min="9697" max="9697" width="2.28515625" style="51" customWidth="1"/>
    <col min="9698" max="9698" width="14.5703125" style="51" customWidth="1"/>
    <col min="9699" max="9699" width="2.28515625" style="51" customWidth="1"/>
    <col min="9700" max="9943" width="11.42578125" style="51"/>
    <col min="9944" max="9944" width="44.85546875" style="51" customWidth="1"/>
    <col min="9945" max="9945" width="12.5703125" style="51" customWidth="1"/>
    <col min="9946" max="9948" width="0" style="51" hidden="1" customWidth="1"/>
    <col min="9949" max="9951" width="2.28515625" style="51" customWidth="1"/>
    <col min="9952" max="9952" width="14.5703125" style="51" customWidth="1"/>
    <col min="9953" max="9953" width="2.28515625" style="51" customWidth="1"/>
    <col min="9954" max="9954" width="14.5703125" style="51" customWidth="1"/>
    <col min="9955" max="9955" width="2.28515625" style="51" customWidth="1"/>
    <col min="9956" max="10199" width="11.42578125" style="51"/>
    <col min="10200" max="10200" width="44.85546875" style="51" customWidth="1"/>
    <col min="10201" max="10201" width="12.5703125" style="51" customWidth="1"/>
    <col min="10202" max="10204" width="0" style="51" hidden="1" customWidth="1"/>
    <col min="10205" max="10207" width="2.28515625" style="51" customWidth="1"/>
    <col min="10208" max="10208" width="14.5703125" style="51" customWidth="1"/>
    <col min="10209" max="10209" width="2.28515625" style="51" customWidth="1"/>
    <col min="10210" max="10210" width="14.5703125" style="51" customWidth="1"/>
    <col min="10211" max="10211" width="2.28515625" style="51" customWidth="1"/>
    <col min="10212" max="10455" width="11.42578125" style="51"/>
    <col min="10456" max="10456" width="44.85546875" style="51" customWidth="1"/>
    <col min="10457" max="10457" width="12.5703125" style="51" customWidth="1"/>
    <col min="10458" max="10460" width="0" style="51" hidden="1" customWidth="1"/>
    <col min="10461" max="10463" width="2.28515625" style="51" customWidth="1"/>
    <col min="10464" max="10464" width="14.5703125" style="51" customWidth="1"/>
    <col min="10465" max="10465" width="2.28515625" style="51" customWidth="1"/>
    <col min="10466" max="10466" width="14.5703125" style="51" customWidth="1"/>
    <col min="10467" max="10467" width="2.28515625" style="51" customWidth="1"/>
    <col min="10468" max="10711" width="11.42578125" style="51"/>
    <col min="10712" max="10712" width="44.85546875" style="51" customWidth="1"/>
    <col min="10713" max="10713" width="12.5703125" style="51" customWidth="1"/>
    <col min="10714" max="10716" width="0" style="51" hidden="1" customWidth="1"/>
    <col min="10717" max="10719" width="2.28515625" style="51" customWidth="1"/>
    <col min="10720" max="10720" width="14.5703125" style="51" customWidth="1"/>
    <col min="10721" max="10721" width="2.28515625" style="51" customWidth="1"/>
    <col min="10722" max="10722" width="14.5703125" style="51" customWidth="1"/>
    <col min="10723" max="10723" width="2.28515625" style="51" customWidth="1"/>
    <col min="10724" max="10967" width="11.42578125" style="51"/>
    <col min="10968" max="10968" width="44.85546875" style="51" customWidth="1"/>
    <col min="10969" max="10969" width="12.5703125" style="51" customWidth="1"/>
    <col min="10970" max="10972" width="0" style="51" hidden="1" customWidth="1"/>
    <col min="10973" max="10975" width="2.28515625" style="51" customWidth="1"/>
    <col min="10976" max="10976" width="14.5703125" style="51" customWidth="1"/>
    <col min="10977" max="10977" width="2.28515625" style="51" customWidth="1"/>
    <col min="10978" max="10978" width="14.5703125" style="51" customWidth="1"/>
    <col min="10979" max="10979" width="2.28515625" style="51" customWidth="1"/>
    <col min="10980" max="11223" width="11.42578125" style="51"/>
    <col min="11224" max="11224" width="44.85546875" style="51" customWidth="1"/>
    <col min="11225" max="11225" width="12.5703125" style="51" customWidth="1"/>
    <col min="11226" max="11228" width="0" style="51" hidden="1" customWidth="1"/>
    <col min="11229" max="11231" width="2.28515625" style="51" customWidth="1"/>
    <col min="11232" max="11232" width="14.5703125" style="51" customWidth="1"/>
    <col min="11233" max="11233" width="2.28515625" style="51" customWidth="1"/>
    <col min="11234" max="11234" width="14.5703125" style="51" customWidth="1"/>
    <col min="11235" max="11235" width="2.28515625" style="51" customWidth="1"/>
    <col min="11236" max="11479" width="11.42578125" style="51"/>
    <col min="11480" max="11480" width="44.85546875" style="51" customWidth="1"/>
    <col min="11481" max="11481" width="12.5703125" style="51" customWidth="1"/>
    <col min="11482" max="11484" width="0" style="51" hidden="1" customWidth="1"/>
    <col min="11485" max="11487" width="2.28515625" style="51" customWidth="1"/>
    <col min="11488" max="11488" width="14.5703125" style="51" customWidth="1"/>
    <col min="11489" max="11489" width="2.28515625" style="51" customWidth="1"/>
    <col min="11490" max="11490" width="14.5703125" style="51" customWidth="1"/>
    <col min="11491" max="11491" width="2.28515625" style="51" customWidth="1"/>
    <col min="11492" max="11735" width="11.42578125" style="51"/>
    <col min="11736" max="11736" width="44.85546875" style="51" customWidth="1"/>
    <col min="11737" max="11737" width="12.5703125" style="51" customWidth="1"/>
    <col min="11738" max="11740" width="0" style="51" hidden="1" customWidth="1"/>
    <col min="11741" max="11743" width="2.28515625" style="51" customWidth="1"/>
    <col min="11744" max="11744" width="14.5703125" style="51" customWidth="1"/>
    <col min="11745" max="11745" width="2.28515625" style="51" customWidth="1"/>
    <col min="11746" max="11746" width="14.5703125" style="51" customWidth="1"/>
    <col min="11747" max="11747" width="2.28515625" style="51" customWidth="1"/>
    <col min="11748" max="11991" width="11.42578125" style="51"/>
    <col min="11992" max="11992" width="44.85546875" style="51" customWidth="1"/>
    <col min="11993" max="11993" width="12.5703125" style="51" customWidth="1"/>
    <col min="11994" max="11996" width="0" style="51" hidden="1" customWidth="1"/>
    <col min="11997" max="11999" width="2.28515625" style="51" customWidth="1"/>
    <col min="12000" max="12000" width="14.5703125" style="51" customWidth="1"/>
    <col min="12001" max="12001" width="2.28515625" style="51" customWidth="1"/>
    <col min="12002" max="12002" width="14.5703125" style="51" customWidth="1"/>
    <col min="12003" max="12003" width="2.28515625" style="51" customWidth="1"/>
    <col min="12004" max="12247" width="11.42578125" style="51"/>
    <col min="12248" max="12248" width="44.85546875" style="51" customWidth="1"/>
    <col min="12249" max="12249" width="12.5703125" style="51" customWidth="1"/>
    <col min="12250" max="12252" width="0" style="51" hidden="1" customWidth="1"/>
    <col min="12253" max="12255" width="2.28515625" style="51" customWidth="1"/>
    <col min="12256" max="12256" width="14.5703125" style="51" customWidth="1"/>
    <col min="12257" max="12257" width="2.28515625" style="51" customWidth="1"/>
    <col min="12258" max="12258" width="14.5703125" style="51" customWidth="1"/>
    <col min="12259" max="12259" width="2.28515625" style="51" customWidth="1"/>
    <col min="12260" max="12503" width="11.42578125" style="51"/>
    <col min="12504" max="12504" width="44.85546875" style="51" customWidth="1"/>
    <col min="12505" max="12505" width="12.5703125" style="51" customWidth="1"/>
    <col min="12506" max="12508" width="0" style="51" hidden="1" customWidth="1"/>
    <col min="12509" max="12511" width="2.28515625" style="51" customWidth="1"/>
    <col min="12512" max="12512" width="14.5703125" style="51" customWidth="1"/>
    <col min="12513" max="12513" width="2.28515625" style="51" customWidth="1"/>
    <col min="12514" max="12514" width="14.5703125" style="51" customWidth="1"/>
    <col min="12515" max="12515" width="2.28515625" style="51" customWidth="1"/>
    <col min="12516" max="12759" width="11.42578125" style="51"/>
    <col min="12760" max="12760" width="44.85546875" style="51" customWidth="1"/>
    <col min="12761" max="12761" width="12.5703125" style="51" customWidth="1"/>
    <col min="12762" max="12764" width="0" style="51" hidden="1" customWidth="1"/>
    <col min="12765" max="12767" width="2.28515625" style="51" customWidth="1"/>
    <col min="12768" max="12768" width="14.5703125" style="51" customWidth="1"/>
    <col min="12769" max="12769" width="2.28515625" style="51" customWidth="1"/>
    <col min="12770" max="12770" width="14.5703125" style="51" customWidth="1"/>
    <col min="12771" max="12771" width="2.28515625" style="51" customWidth="1"/>
    <col min="12772" max="13015" width="11.42578125" style="51"/>
    <col min="13016" max="13016" width="44.85546875" style="51" customWidth="1"/>
    <col min="13017" max="13017" width="12.5703125" style="51" customWidth="1"/>
    <col min="13018" max="13020" width="0" style="51" hidden="1" customWidth="1"/>
    <col min="13021" max="13023" width="2.28515625" style="51" customWidth="1"/>
    <col min="13024" max="13024" width="14.5703125" style="51" customWidth="1"/>
    <col min="13025" max="13025" width="2.28515625" style="51" customWidth="1"/>
    <col min="13026" max="13026" width="14.5703125" style="51" customWidth="1"/>
    <col min="13027" max="13027" width="2.28515625" style="51" customWidth="1"/>
    <col min="13028" max="13271" width="11.42578125" style="51"/>
    <col min="13272" max="13272" width="44.85546875" style="51" customWidth="1"/>
    <col min="13273" max="13273" width="12.5703125" style="51" customWidth="1"/>
    <col min="13274" max="13276" width="0" style="51" hidden="1" customWidth="1"/>
    <col min="13277" max="13279" width="2.28515625" style="51" customWidth="1"/>
    <col min="13280" max="13280" width="14.5703125" style="51" customWidth="1"/>
    <col min="13281" max="13281" width="2.28515625" style="51" customWidth="1"/>
    <col min="13282" max="13282" width="14.5703125" style="51" customWidth="1"/>
    <col min="13283" max="13283" width="2.28515625" style="51" customWidth="1"/>
    <col min="13284" max="13527" width="11.42578125" style="51"/>
    <col min="13528" max="13528" width="44.85546875" style="51" customWidth="1"/>
    <col min="13529" max="13529" width="12.5703125" style="51" customWidth="1"/>
    <col min="13530" max="13532" width="0" style="51" hidden="1" customWidth="1"/>
    <col min="13533" max="13535" width="2.28515625" style="51" customWidth="1"/>
    <col min="13536" max="13536" width="14.5703125" style="51" customWidth="1"/>
    <col min="13537" max="13537" width="2.28515625" style="51" customWidth="1"/>
    <col min="13538" max="13538" width="14.5703125" style="51" customWidth="1"/>
    <col min="13539" max="13539" width="2.28515625" style="51" customWidth="1"/>
    <col min="13540" max="13783" width="11.42578125" style="51"/>
    <col min="13784" max="13784" width="44.85546875" style="51" customWidth="1"/>
    <col min="13785" max="13785" width="12.5703125" style="51" customWidth="1"/>
    <col min="13786" max="13788" width="0" style="51" hidden="1" customWidth="1"/>
    <col min="13789" max="13791" width="2.28515625" style="51" customWidth="1"/>
    <col min="13792" max="13792" width="14.5703125" style="51" customWidth="1"/>
    <col min="13793" max="13793" width="2.28515625" style="51" customWidth="1"/>
    <col min="13794" max="13794" width="14.5703125" style="51" customWidth="1"/>
    <col min="13795" max="13795" width="2.28515625" style="51" customWidth="1"/>
    <col min="13796" max="14039" width="11.42578125" style="51"/>
    <col min="14040" max="14040" width="44.85546875" style="51" customWidth="1"/>
    <col min="14041" max="14041" width="12.5703125" style="51" customWidth="1"/>
    <col min="14042" max="14044" width="0" style="51" hidden="1" customWidth="1"/>
    <col min="14045" max="14047" width="2.28515625" style="51" customWidth="1"/>
    <col min="14048" max="14048" width="14.5703125" style="51" customWidth="1"/>
    <col min="14049" max="14049" width="2.28515625" style="51" customWidth="1"/>
    <col min="14050" max="14050" width="14.5703125" style="51" customWidth="1"/>
    <col min="14051" max="14051" width="2.28515625" style="51" customWidth="1"/>
    <col min="14052" max="14295" width="11.42578125" style="51"/>
    <col min="14296" max="14296" width="44.85546875" style="51" customWidth="1"/>
    <col min="14297" max="14297" width="12.5703125" style="51" customWidth="1"/>
    <col min="14298" max="14300" width="0" style="51" hidden="1" customWidth="1"/>
    <col min="14301" max="14303" width="2.28515625" style="51" customWidth="1"/>
    <col min="14304" max="14304" width="14.5703125" style="51" customWidth="1"/>
    <col min="14305" max="14305" width="2.28515625" style="51" customWidth="1"/>
    <col min="14306" max="14306" width="14.5703125" style="51" customWidth="1"/>
    <col min="14307" max="14307" width="2.28515625" style="51" customWidth="1"/>
    <col min="14308" max="14551" width="11.42578125" style="51"/>
    <col min="14552" max="14552" width="44.85546875" style="51" customWidth="1"/>
    <col min="14553" max="14553" width="12.5703125" style="51" customWidth="1"/>
    <col min="14554" max="14556" width="0" style="51" hidden="1" customWidth="1"/>
    <col min="14557" max="14559" width="2.28515625" style="51" customWidth="1"/>
    <col min="14560" max="14560" width="14.5703125" style="51" customWidth="1"/>
    <col min="14561" max="14561" width="2.28515625" style="51" customWidth="1"/>
    <col min="14562" max="14562" width="14.5703125" style="51" customWidth="1"/>
    <col min="14563" max="14563" width="2.28515625" style="51" customWidth="1"/>
    <col min="14564" max="14807" width="11.42578125" style="51"/>
    <col min="14808" max="14808" width="44.85546875" style="51" customWidth="1"/>
    <col min="14809" max="14809" width="12.5703125" style="51" customWidth="1"/>
    <col min="14810" max="14812" width="0" style="51" hidden="1" customWidth="1"/>
    <col min="14813" max="14815" width="2.28515625" style="51" customWidth="1"/>
    <col min="14816" max="14816" width="14.5703125" style="51" customWidth="1"/>
    <col min="14817" max="14817" width="2.28515625" style="51" customWidth="1"/>
    <col min="14818" max="14818" width="14.5703125" style="51" customWidth="1"/>
    <col min="14819" max="14819" width="2.28515625" style="51" customWidth="1"/>
    <col min="14820" max="15063" width="11.42578125" style="51"/>
    <col min="15064" max="15064" width="44.85546875" style="51" customWidth="1"/>
    <col min="15065" max="15065" width="12.5703125" style="51" customWidth="1"/>
    <col min="15066" max="15068" width="0" style="51" hidden="1" customWidth="1"/>
    <col min="15069" max="15071" width="2.28515625" style="51" customWidth="1"/>
    <col min="15072" max="15072" width="14.5703125" style="51" customWidth="1"/>
    <col min="15073" max="15073" width="2.28515625" style="51" customWidth="1"/>
    <col min="15074" max="15074" width="14.5703125" style="51" customWidth="1"/>
    <col min="15075" max="15075" width="2.28515625" style="51" customWidth="1"/>
    <col min="15076" max="15319" width="11.42578125" style="51"/>
    <col min="15320" max="15320" width="44.85546875" style="51" customWidth="1"/>
    <col min="15321" max="15321" width="12.5703125" style="51" customWidth="1"/>
    <col min="15322" max="15324" width="0" style="51" hidden="1" customWidth="1"/>
    <col min="15325" max="15327" width="2.28515625" style="51" customWidth="1"/>
    <col min="15328" max="15328" width="14.5703125" style="51" customWidth="1"/>
    <col min="15329" max="15329" width="2.28515625" style="51" customWidth="1"/>
    <col min="15330" max="15330" width="14.5703125" style="51" customWidth="1"/>
    <col min="15331" max="15331" width="2.28515625" style="51" customWidth="1"/>
    <col min="15332" max="15575" width="11.42578125" style="51"/>
    <col min="15576" max="15576" width="44.85546875" style="51" customWidth="1"/>
    <col min="15577" max="15577" width="12.5703125" style="51" customWidth="1"/>
    <col min="15578" max="15580" width="0" style="51" hidden="1" customWidth="1"/>
    <col min="15581" max="15583" width="2.28515625" style="51" customWidth="1"/>
    <col min="15584" max="15584" width="14.5703125" style="51" customWidth="1"/>
    <col min="15585" max="15585" width="2.28515625" style="51" customWidth="1"/>
    <col min="15586" max="15586" width="14.5703125" style="51" customWidth="1"/>
    <col min="15587" max="15587" width="2.28515625" style="51" customWidth="1"/>
    <col min="15588" max="15831" width="11.42578125" style="51"/>
    <col min="15832" max="15832" width="44.85546875" style="51" customWidth="1"/>
    <col min="15833" max="15833" width="12.5703125" style="51" customWidth="1"/>
    <col min="15834" max="15836" width="0" style="51" hidden="1" customWidth="1"/>
    <col min="15837" max="15839" width="2.28515625" style="51" customWidth="1"/>
    <col min="15840" max="15840" width="14.5703125" style="51" customWidth="1"/>
    <col min="15841" max="15841" width="2.28515625" style="51" customWidth="1"/>
    <col min="15842" max="15842" width="14.5703125" style="51" customWidth="1"/>
    <col min="15843" max="15843" width="2.28515625" style="51" customWidth="1"/>
    <col min="15844" max="16087" width="11.42578125" style="51"/>
    <col min="16088" max="16088" width="44.85546875" style="51" customWidth="1"/>
    <col min="16089" max="16089" width="12.5703125" style="51" customWidth="1"/>
    <col min="16090" max="16092" width="0" style="51" hidden="1" customWidth="1"/>
    <col min="16093" max="16095" width="2.28515625" style="51" customWidth="1"/>
    <col min="16096" max="16096" width="14.5703125" style="51" customWidth="1"/>
    <col min="16097" max="16097" width="2.28515625" style="51" customWidth="1"/>
    <col min="16098" max="16098" width="14.5703125" style="51" customWidth="1"/>
    <col min="16099" max="16099" width="2.28515625" style="51" customWidth="1"/>
    <col min="16100" max="16384" width="11.42578125" style="51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9" spans="1:13" x14ac:dyDescent="0.25">
      <c r="A9" s="389" t="s">
        <v>0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</row>
    <row r="10" spans="1:13" x14ac:dyDescent="0.25">
      <c r="A10" s="389" t="s">
        <v>1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3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52"/>
      <c r="K11" s="124"/>
      <c r="M11" s="124"/>
    </row>
    <row r="12" spans="1:13" x14ac:dyDescent="0.25">
      <c r="A12" s="389" t="s">
        <v>2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</row>
    <row r="13" spans="1:13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2"/>
      <c r="K13" s="53"/>
      <c r="M13" s="53"/>
    </row>
    <row r="14" spans="1:13" x14ac:dyDescent="0.25">
      <c r="A14" s="390" t="s">
        <v>1712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</row>
    <row r="15" spans="1:13" x14ac:dyDescent="0.25">
      <c r="A15" s="392" t="s">
        <v>2101</v>
      </c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</row>
    <row r="16" spans="1:13" x14ac:dyDescent="0.25">
      <c r="A16" s="390" t="s">
        <v>1713</v>
      </c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</row>
    <row r="18" spans="1:15" x14ac:dyDescent="0.25">
      <c r="A18" s="350"/>
      <c r="B18" s="350"/>
      <c r="C18" s="350"/>
      <c r="D18" s="350"/>
      <c r="E18" s="350"/>
      <c r="F18" s="350"/>
      <c r="G18" s="350"/>
      <c r="H18" s="350"/>
      <c r="I18" s="350"/>
      <c r="J18" s="351"/>
      <c r="K18" s="352"/>
      <c r="L18" s="353" t="s">
        <v>1800</v>
      </c>
      <c r="M18" s="350"/>
    </row>
    <row r="19" spans="1:15" x14ac:dyDescent="0.25">
      <c r="A19" s="350"/>
      <c r="B19" s="350"/>
      <c r="C19" s="350"/>
      <c r="D19" s="350"/>
      <c r="E19" s="350"/>
      <c r="F19" s="350"/>
      <c r="G19" s="350"/>
      <c r="H19" s="350"/>
      <c r="I19" s="350"/>
      <c r="J19" s="105" t="s">
        <v>4</v>
      </c>
      <c r="K19" s="350"/>
      <c r="L19" s="105" t="s">
        <v>4</v>
      </c>
      <c r="M19" s="350"/>
    </row>
    <row r="20" spans="1:15" x14ac:dyDescent="0.25">
      <c r="A20" s="350"/>
      <c r="B20" s="350"/>
      <c r="C20" s="350"/>
      <c r="D20" s="350"/>
      <c r="E20" s="350"/>
      <c r="F20" s="350"/>
      <c r="G20" s="350"/>
      <c r="H20" s="350"/>
      <c r="I20" s="350"/>
      <c r="J20" s="107">
        <v>43831</v>
      </c>
      <c r="K20" s="350"/>
      <c r="L20" s="107">
        <v>43466</v>
      </c>
      <c r="M20" s="350"/>
    </row>
    <row r="21" spans="1:15" x14ac:dyDescent="0.25">
      <c r="A21" s="350"/>
      <c r="B21" s="350"/>
      <c r="C21" s="350"/>
      <c r="D21" s="350"/>
      <c r="E21" s="350"/>
      <c r="F21" s="350"/>
      <c r="G21" s="350"/>
      <c r="H21" s="350"/>
      <c r="I21" s="350"/>
      <c r="J21" s="105" t="s">
        <v>5</v>
      </c>
      <c r="K21" s="350"/>
      <c r="L21" s="105" t="s">
        <v>5</v>
      </c>
      <c r="M21" s="350"/>
    </row>
    <row r="22" spans="1:15" x14ac:dyDescent="0.25">
      <c r="A22" s="350"/>
      <c r="B22" s="350"/>
      <c r="C22" s="354" t="s">
        <v>1714</v>
      </c>
      <c r="D22" s="354"/>
      <c r="E22" s="354" t="s">
        <v>1714</v>
      </c>
      <c r="F22" s="354"/>
      <c r="G22" s="354"/>
      <c r="H22" s="354"/>
      <c r="I22" s="354"/>
      <c r="J22" s="108">
        <v>44104</v>
      </c>
      <c r="K22" s="354"/>
      <c r="L22" s="108">
        <v>43830</v>
      </c>
      <c r="M22" s="354"/>
    </row>
    <row r="23" spans="1:15" x14ac:dyDescent="0.25">
      <c r="A23" s="350"/>
      <c r="B23" s="350"/>
      <c r="C23" s="355" t="s">
        <v>1715</v>
      </c>
      <c r="D23" s="355"/>
      <c r="E23" s="355" t="s">
        <v>1716</v>
      </c>
      <c r="F23" s="355"/>
      <c r="G23" s="355"/>
      <c r="H23" s="355"/>
      <c r="I23" s="355"/>
      <c r="J23" s="355"/>
      <c r="K23" s="355"/>
      <c r="L23" s="107"/>
      <c r="M23" s="355"/>
    </row>
    <row r="24" spans="1:15" x14ac:dyDescent="0.25">
      <c r="A24" s="350"/>
      <c r="B24" s="170"/>
      <c r="C24" s="169"/>
      <c r="D24" s="169"/>
      <c r="E24" s="169"/>
      <c r="F24" s="169"/>
      <c r="G24" s="170"/>
      <c r="H24" s="170"/>
      <c r="I24" s="170"/>
      <c r="J24" s="169"/>
      <c r="K24" s="170"/>
      <c r="L24" s="170"/>
      <c r="M24" s="170"/>
    </row>
    <row r="25" spans="1:15" x14ac:dyDescent="0.25">
      <c r="A25" s="356" t="s">
        <v>1717</v>
      </c>
      <c r="B25" s="170" t="s">
        <v>1720</v>
      </c>
      <c r="C25" s="169">
        <f>18656628.25-3336463.87</f>
        <v>15320164.379999999</v>
      </c>
      <c r="D25" s="169"/>
      <c r="E25" s="169">
        <f>15698058.45-2140132.97</f>
        <v>13557925.479999999</v>
      </c>
      <c r="F25" s="169"/>
      <c r="G25" s="169"/>
      <c r="H25" s="169"/>
      <c r="I25" s="169"/>
      <c r="J25" s="136">
        <v>38635.422989999999</v>
      </c>
      <c r="K25" s="136"/>
      <c r="L25" s="136">
        <v>47921.439140000002</v>
      </c>
      <c r="M25" s="169"/>
      <c r="N25" s="62"/>
      <c r="O25" s="58"/>
    </row>
    <row r="26" spans="1:15" x14ac:dyDescent="0.25">
      <c r="A26" s="350"/>
      <c r="B26" s="170"/>
      <c r="C26" s="170"/>
      <c r="D26" s="170"/>
      <c r="E26" s="170"/>
      <c r="F26" s="170"/>
      <c r="G26" s="169"/>
      <c r="H26" s="169"/>
      <c r="I26" s="169"/>
      <c r="J26" s="135"/>
      <c r="K26" s="136"/>
      <c r="L26" s="135">
        <v>0</v>
      </c>
      <c r="M26" s="169"/>
      <c r="O26" s="59"/>
    </row>
    <row r="27" spans="1:15" x14ac:dyDescent="0.25">
      <c r="A27" s="356" t="s">
        <v>1719</v>
      </c>
      <c r="B27" s="170" t="s">
        <v>1724</v>
      </c>
      <c r="C27" s="169">
        <f>574014.32-10085908.16</f>
        <v>-9511893.8399999999</v>
      </c>
      <c r="D27" s="169"/>
      <c r="E27" s="169">
        <v>-5972590.46</v>
      </c>
      <c r="F27" s="169"/>
      <c r="G27" s="136"/>
      <c r="H27" s="136"/>
      <c r="I27" s="136"/>
      <c r="J27" s="136">
        <v>-29706.708420000003</v>
      </c>
      <c r="K27" s="136"/>
      <c r="L27" s="136">
        <v>-44774.483030000003</v>
      </c>
      <c r="M27" s="136"/>
      <c r="O27" s="58"/>
    </row>
    <row r="28" spans="1:15" x14ac:dyDescent="0.25">
      <c r="A28" s="357"/>
      <c r="B28" s="170"/>
      <c r="C28" s="170"/>
      <c r="D28" s="170"/>
      <c r="E28" s="170"/>
      <c r="F28" s="170"/>
      <c r="G28" s="136"/>
      <c r="H28" s="136"/>
      <c r="I28" s="136"/>
      <c r="J28" s="135"/>
      <c r="K28" s="136"/>
      <c r="L28" s="135">
        <v>0</v>
      </c>
      <c r="M28" s="136"/>
      <c r="O28" s="59"/>
    </row>
    <row r="29" spans="1:15" x14ac:dyDescent="0.25">
      <c r="A29" s="356" t="s">
        <v>1721</v>
      </c>
      <c r="B29" s="170"/>
      <c r="C29" s="169">
        <f>C25+C27</f>
        <v>5808270.5399999991</v>
      </c>
      <c r="D29" s="169"/>
      <c r="E29" s="169">
        <f>E25+E27</f>
        <v>7585335.0199999986</v>
      </c>
      <c r="F29" s="169"/>
      <c r="G29" s="136"/>
      <c r="H29" s="136"/>
      <c r="I29" s="136"/>
      <c r="J29" s="136">
        <f>SUM(J25:J28)</f>
        <v>8928.7145699999965</v>
      </c>
      <c r="K29" s="136"/>
      <c r="L29" s="136">
        <f>SUM(L25:L28)</f>
        <v>3146.9561099999992</v>
      </c>
      <c r="M29" s="136"/>
      <c r="O29" s="58"/>
    </row>
    <row r="30" spans="1:15" x14ac:dyDescent="0.25">
      <c r="A30" s="357"/>
      <c r="B30" s="170"/>
      <c r="C30" s="170"/>
      <c r="D30" s="170"/>
      <c r="E30" s="170"/>
      <c r="F30" s="170"/>
      <c r="G30" s="136"/>
      <c r="H30" s="136"/>
      <c r="I30" s="136"/>
      <c r="J30" s="135">
        <v>0</v>
      </c>
      <c r="K30" s="136"/>
      <c r="L30" s="135">
        <v>0</v>
      </c>
      <c r="M30" s="136"/>
      <c r="O30" s="59"/>
    </row>
    <row r="31" spans="1:15" x14ac:dyDescent="0.25">
      <c r="A31" s="356" t="s">
        <v>1722</v>
      </c>
      <c r="B31" s="170"/>
      <c r="C31" s="169" t="e">
        <f>(C33+C34+#REF!+C35)</f>
        <v>#REF!</v>
      </c>
      <c r="D31" s="169"/>
      <c r="E31" s="169" t="e">
        <f>(E33+E34+#REF!+E35)</f>
        <v>#REF!</v>
      </c>
      <c r="F31" s="169"/>
      <c r="G31" s="136"/>
      <c r="H31" s="136"/>
      <c r="I31" s="136"/>
      <c r="J31" s="136">
        <f>(J33+J34+J35)</f>
        <v>-13922.627220000002</v>
      </c>
      <c r="K31" s="136"/>
      <c r="L31" s="136">
        <f>(L33+L34+L35)</f>
        <v>-26724.602999999999</v>
      </c>
      <c r="M31" s="136"/>
      <c r="O31" s="59"/>
    </row>
    <row r="32" spans="1:15" x14ac:dyDescent="0.25">
      <c r="A32" s="350"/>
      <c r="B32" s="170"/>
      <c r="C32" s="170"/>
      <c r="D32" s="170"/>
      <c r="E32" s="170"/>
      <c r="F32" s="170"/>
      <c r="G32" s="136"/>
      <c r="H32" s="136"/>
      <c r="I32" s="136"/>
      <c r="J32" s="135">
        <v>0</v>
      </c>
      <c r="K32" s="136"/>
      <c r="L32" s="135">
        <v>0</v>
      </c>
      <c r="M32" s="136"/>
      <c r="O32" s="59"/>
    </row>
    <row r="33" spans="1:17" x14ac:dyDescent="0.25">
      <c r="A33" s="350" t="s">
        <v>1723</v>
      </c>
      <c r="B33" s="170" t="s">
        <v>1726</v>
      </c>
      <c r="C33" s="169">
        <f>-6916226.02+349885.19</f>
        <v>-6566340.8299999991</v>
      </c>
      <c r="D33" s="169"/>
      <c r="E33" s="169">
        <v>-6836215.71</v>
      </c>
      <c r="F33" s="169"/>
      <c r="G33" s="136"/>
      <c r="H33" s="136"/>
      <c r="I33" s="136"/>
      <c r="J33" s="136">
        <f>-19731.85257+108.59987</f>
        <v>-19623.252700000001</v>
      </c>
      <c r="K33" s="136"/>
      <c r="L33" s="136">
        <f>-28362.50178-108.59987</f>
        <v>-28471.101649999997</v>
      </c>
      <c r="M33" s="136"/>
      <c r="N33" s="96"/>
      <c r="O33" s="58"/>
    </row>
    <row r="34" spans="1:17" x14ac:dyDescent="0.25">
      <c r="A34" s="350" t="s">
        <v>1725</v>
      </c>
      <c r="B34" s="170" t="s">
        <v>2098</v>
      </c>
      <c r="C34" s="169">
        <f>1479001.44+476.76</f>
        <v>1479478.2</v>
      </c>
      <c r="D34" s="169"/>
      <c r="E34" s="169">
        <v>2234.09</v>
      </c>
      <c r="F34" s="169"/>
      <c r="G34" s="136"/>
      <c r="H34" s="136"/>
      <c r="I34" s="136"/>
      <c r="J34" s="136">
        <f>4265.55635+1435.06913</f>
        <v>5700.6254799999997</v>
      </c>
      <c r="K34" s="136"/>
      <c r="L34" s="136">
        <f>7731.80132-1435.06913</f>
        <v>6296.7321899999997</v>
      </c>
      <c r="M34" s="136"/>
      <c r="O34" s="96"/>
    </row>
    <row r="35" spans="1:17" x14ac:dyDescent="0.25">
      <c r="A35" s="350" t="s">
        <v>1789</v>
      </c>
      <c r="B35" s="170"/>
      <c r="C35" s="169">
        <v>0</v>
      </c>
      <c r="D35" s="169"/>
      <c r="E35" s="169">
        <v>0</v>
      </c>
      <c r="F35" s="169"/>
      <c r="G35" s="136"/>
      <c r="H35" s="136"/>
      <c r="I35" s="136"/>
      <c r="J35" s="136">
        <v>0</v>
      </c>
      <c r="K35" s="136"/>
      <c r="L35" s="136">
        <v>-4550.2335400000002</v>
      </c>
      <c r="M35" s="136"/>
      <c r="N35" s="62"/>
      <c r="O35" s="58"/>
    </row>
    <row r="36" spans="1:17" x14ac:dyDescent="0.25">
      <c r="A36" s="350"/>
      <c r="B36" s="170"/>
      <c r="C36" s="170"/>
      <c r="D36" s="170"/>
      <c r="E36" s="170"/>
      <c r="F36" s="170"/>
      <c r="G36" s="137"/>
      <c r="H36" s="137"/>
      <c r="I36" s="137"/>
      <c r="J36" s="135">
        <v>0</v>
      </c>
      <c r="K36" s="137"/>
      <c r="L36" s="135">
        <v>0</v>
      </c>
      <c r="M36" s="137"/>
      <c r="O36" s="59"/>
      <c r="Q36" s="62"/>
    </row>
    <row r="37" spans="1:17" x14ac:dyDescent="0.25">
      <c r="A37" s="356" t="s">
        <v>1727</v>
      </c>
      <c r="B37" s="170"/>
      <c r="C37" s="170"/>
      <c r="D37" s="170"/>
      <c r="E37" s="170"/>
      <c r="F37" s="170"/>
      <c r="G37" s="136"/>
      <c r="H37" s="136"/>
      <c r="I37" s="136"/>
      <c r="J37" s="135">
        <v>0</v>
      </c>
      <c r="K37" s="136"/>
      <c r="L37" s="135">
        <v>0</v>
      </c>
      <c r="M37" s="136"/>
      <c r="N37" s="62"/>
      <c r="O37" s="59"/>
    </row>
    <row r="38" spans="1:17" x14ac:dyDescent="0.25">
      <c r="A38" s="356" t="s">
        <v>1380</v>
      </c>
      <c r="B38" s="170"/>
      <c r="C38" s="169" t="e">
        <f>C29+C31</f>
        <v>#REF!</v>
      </c>
      <c r="D38" s="169"/>
      <c r="E38" s="169" t="e">
        <f>E29+E31</f>
        <v>#REF!</v>
      </c>
      <c r="F38" s="169"/>
      <c r="G38" s="136"/>
      <c r="H38" s="136"/>
      <c r="I38" s="136"/>
      <c r="J38" s="136">
        <f>J29+J31</f>
        <v>-4993.9126500000057</v>
      </c>
      <c r="K38" s="136"/>
      <c r="L38" s="136">
        <f>L29+L31</f>
        <v>-23577.64689</v>
      </c>
      <c r="M38" s="136"/>
      <c r="O38" s="59"/>
    </row>
    <row r="39" spans="1:17" x14ac:dyDescent="0.25">
      <c r="A39" s="356"/>
      <c r="B39" s="170"/>
      <c r="C39" s="170"/>
      <c r="D39" s="170"/>
      <c r="E39" s="170"/>
      <c r="F39" s="170"/>
      <c r="G39" s="136"/>
      <c r="H39" s="136"/>
      <c r="I39" s="136"/>
      <c r="J39" s="135">
        <v>0</v>
      </c>
      <c r="K39" s="136"/>
      <c r="L39" s="135">
        <v>0</v>
      </c>
      <c r="M39" s="136"/>
      <c r="O39" s="59"/>
    </row>
    <row r="40" spans="1:17" x14ac:dyDescent="0.25">
      <c r="A40" s="350" t="s">
        <v>1728</v>
      </c>
      <c r="B40" s="170" t="s">
        <v>2099</v>
      </c>
      <c r="C40" s="358">
        <f>125613.81-9498.46</f>
        <v>116115.35</v>
      </c>
      <c r="D40" s="358"/>
      <c r="E40" s="358">
        <v>126550.15</v>
      </c>
      <c r="F40" s="358"/>
      <c r="G40" s="137"/>
      <c r="H40" s="137"/>
      <c r="I40" s="137"/>
      <c r="J40" s="137">
        <v>911.23964000000001</v>
      </c>
      <c r="K40" s="137"/>
      <c r="L40" s="137">
        <v>436.15994999999998</v>
      </c>
      <c r="M40" s="137"/>
      <c r="O40" s="58"/>
    </row>
    <row r="41" spans="1:17" x14ac:dyDescent="0.25">
      <c r="A41" s="350" t="s">
        <v>1730</v>
      </c>
      <c r="B41" s="170" t="s">
        <v>2100</v>
      </c>
      <c r="C41" s="358">
        <v>-2575947.29</v>
      </c>
      <c r="D41" s="358"/>
      <c r="E41" s="358">
        <v>-1318966.04</v>
      </c>
      <c r="F41" s="358"/>
      <c r="G41" s="137"/>
      <c r="H41" s="137"/>
      <c r="I41" s="137"/>
      <c r="J41" s="137">
        <v>-2161.7209199999998</v>
      </c>
      <c r="K41" s="137"/>
      <c r="L41" s="137">
        <v>-3799.6820400000001</v>
      </c>
      <c r="M41" s="137"/>
      <c r="O41" s="58"/>
    </row>
    <row r="42" spans="1:17" ht="15" hidden="1" customHeight="1" x14ac:dyDescent="0.25">
      <c r="A42" s="350"/>
      <c r="B42" s="170"/>
      <c r="C42" s="170"/>
      <c r="D42" s="170"/>
      <c r="E42" s="170"/>
      <c r="F42" s="170"/>
      <c r="G42" s="136"/>
      <c r="H42" s="136"/>
      <c r="I42" s="136"/>
      <c r="J42" s="135">
        <v>0</v>
      </c>
      <c r="K42" s="136"/>
      <c r="L42" s="135">
        <v>0</v>
      </c>
      <c r="M42" s="136"/>
      <c r="O42" s="59"/>
    </row>
    <row r="43" spans="1:17" x14ac:dyDescent="0.25">
      <c r="A43" s="350"/>
      <c r="B43" s="170"/>
      <c r="C43" s="170"/>
      <c r="D43" s="170"/>
      <c r="E43" s="170"/>
      <c r="F43" s="170"/>
      <c r="G43" s="136"/>
      <c r="H43" s="136"/>
      <c r="I43" s="136"/>
      <c r="J43" s="135">
        <v>0</v>
      </c>
      <c r="K43" s="136"/>
      <c r="L43" s="135">
        <v>0</v>
      </c>
      <c r="M43" s="136"/>
      <c r="O43" s="59"/>
    </row>
    <row r="44" spans="1:17" x14ac:dyDescent="0.25">
      <c r="A44" s="356" t="s">
        <v>1732</v>
      </c>
      <c r="B44" s="170"/>
      <c r="C44" s="169" t="e">
        <f>C38+C40+C41</f>
        <v>#REF!</v>
      </c>
      <c r="D44" s="169"/>
      <c r="E44" s="169" t="e">
        <f>E38+E40+E41</f>
        <v>#REF!</v>
      </c>
      <c r="F44" s="169"/>
      <c r="G44" s="136"/>
      <c r="H44" s="136"/>
      <c r="I44" s="136"/>
      <c r="J44" s="136">
        <f>J38+J40+J41</f>
        <v>-6244.3939300000056</v>
      </c>
      <c r="K44" s="136"/>
      <c r="L44" s="136">
        <f>L38+L40+L41</f>
        <v>-26941.168979999999</v>
      </c>
      <c r="M44" s="136"/>
      <c r="O44" s="58"/>
    </row>
    <row r="45" spans="1:17" x14ac:dyDescent="0.25">
      <c r="A45" s="356"/>
      <c r="B45" s="170"/>
      <c r="C45" s="170"/>
      <c r="D45" s="170"/>
      <c r="E45" s="170"/>
      <c r="F45" s="170"/>
      <c r="G45" s="136"/>
      <c r="H45" s="136"/>
      <c r="I45" s="136"/>
      <c r="J45" s="135">
        <v>0</v>
      </c>
      <c r="K45" s="136"/>
      <c r="L45" s="135">
        <v>0</v>
      </c>
      <c r="M45" s="136"/>
      <c r="O45" s="59"/>
    </row>
    <row r="46" spans="1:17" ht="17.25" x14ac:dyDescent="0.4">
      <c r="A46" s="356" t="s">
        <v>1733</v>
      </c>
      <c r="B46" s="170"/>
      <c r="C46" s="169">
        <v>0</v>
      </c>
      <c r="D46" s="169"/>
      <c r="E46" s="169">
        <v>0</v>
      </c>
      <c r="F46" s="169"/>
      <c r="G46" s="63"/>
      <c r="H46" s="63"/>
      <c r="I46" s="63"/>
      <c r="J46" s="136">
        <v>0</v>
      </c>
      <c r="K46" s="64"/>
      <c r="L46" s="136">
        <v>0</v>
      </c>
      <c r="M46" s="63"/>
      <c r="O46" s="58"/>
    </row>
    <row r="47" spans="1:17" ht="15" hidden="1" customHeight="1" x14ac:dyDescent="0.25">
      <c r="A47" s="356" t="s">
        <v>1734</v>
      </c>
      <c r="B47" s="356"/>
      <c r="C47" s="356"/>
      <c r="D47" s="356"/>
      <c r="E47" s="356"/>
      <c r="F47" s="356"/>
      <c r="G47" s="136"/>
      <c r="H47" s="136"/>
      <c r="I47" s="136"/>
      <c r="J47" s="173">
        <v>0</v>
      </c>
      <c r="K47" s="136"/>
      <c r="L47" s="173">
        <v>0</v>
      </c>
      <c r="M47" s="136"/>
      <c r="O47" s="65"/>
    </row>
    <row r="48" spans="1:17" ht="15" hidden="1" customHeight="1" x14ac:dyDescent="0.25">
      <c r="A48" s="356" t="s">
        <v>1735</v>
      </c>
      <c r="B48" s="356"/>
      <c r="C48" s="356"/>
      <c r="D48" s="356"/>
      <c r="E48" s="356"/>
      <c r="F48" s="356"/>
      <c r="G48" s="136"/>
      <c r="H48" s="136"/>
      <c r="I48" s="136"/>
      <c r="J48" s="173">
        <v>0</v>
      </c>
      <c r="K48" s="136"/>
      <c r="L48" s="173">
        <v>0</v>
      </c>
      <c r="M48" s="136"/>
      <c r="O48" s="65"/>
    </row>
    <row r="49" spans="1:15" ht="15" hidden="1" customHeight="1" x14ac:dyDescent="0.25">
      <c r="A49" s="357"/>
      <c r="B49" s="357"/>
      <c r="C49" s="357"/>
      <c r="D49" s="357"/>
      <c r="E49" s="357"/>
      <c r="F49" s="357"/>
      <c r="G49" s="136"/>
      <c r="H49" s="136"/>
      <c r="I49" s="136"/>
      <c r="J49" s="174">
        <v>0</v>
      </c>
      <c r="K49" s="136"/>
      <c r="L49" s="174">
        <v>0</v>
      </c>
      <c r="M49" s="136"/>
      <c r="O49" s="66"/>
    </row>
    <row r="50" spans="1:15" ht="15" hidden="1" customHeight="1" x14ac:dyDescent="0.25">
      <c r="A50" s="356" t="s">
        <v>1736</v>
      </c>
      <c r="B50" s="356"/>
      <c r="C50" s="356"/>
      <c r="D50" s="356"/>
      <c r="E50" s="356"/>
      <c r="F50" s="356"/>
      <c r="G50" s="136"/>
      <c r="H50" s="136"/>
      <c r="I50" s="136"/>
      <c r="J50" s="173">
        <v>0</v>
      </c>
      <c r="K50" s="136"/>
      <c r="L50" s="173">
        <v>0</v>
      </c>
      <c r="M50" s="136"/>
      <c r="O50" s="65"/>
    </row>
    <row r="51" spans="1:15" ht="15" hidden="1" customHeight="1" x14ac:dyDescent="0.25">
      <c r="A51" s="350"/>
      <c r="B51" s="350"/>
      <c r="C51" s="350"/>
      <c r="D51" s="350"/>
      <c r="E51" s="350"/>
      <c r="F51" s="350"/>
      <c r="G51" s="136"/>
      <c r="H51" s="136"/>
      <c r="I51" s="136"/>
      <c r="J51" s="137">
        <v>0</v>
      </c>
      <c r="K51" s="136"/>
      <c r="L51" s="137">
        <v>0</v>
      </c>
      <c r="M51" s="136"/>
      <c r="O51" s="62"/>
    </row>
    <row r="52" spans="1:15" x14ac:dyDescent="0.25">
      <c r="A52" s="350" t="s">
        <v>54</v>
      </c>
      <c r="B52" s="350"/>
      <c r="C52" s="350"/>
      <c r="D52" s="350"/>
      <c r="E52" s="350"/>
      <c r="F52" s="350"/>
      <c r="G52" s="136"/>
      <c r="H52" s="136"/>
      <c r="I52" s="136"/>
      <c r="J52" s="137">
        <v>0</v>
      </c>
      <c r="K52" s="136"/>
      <c r="L52" s="138"/>
      <c r="M52" s="136"/>
      <c r="O52" s="62"/>
    </row>
    <row r="53" spans="1:15" x14ac:dyDescent="0.25">
      <c r="A53" s="356" t="s">
        <v>1737</v>
      </c>
      <c r="B53" s="170" t="s">
        <v>1795</v>
      </c>
      <c r="C53" s="169" t="e">
        <f>C44+C46</f>
        <v>#REF!</v>
      </c>
      <c r="D53" s="169"/>
      <c r="E53" s="169" t="e">
        <f>E44+E46</f>
        <v>#REF!</v>
      </c>
      <c r="F53" s="169"/>
      <c r="G53" s="138"/>
      <c r="H53" s="138"/>
      <c r="I53" s="138"/>
      <c r="J53" s="138">
        <f>J44+J46</f>
        <v>-6244.3939300000056</v>
      </c>
      <c r="K53" s="136"/>
      <c r="L53" s="138">
        <f>L44+L46</f>
        <v>-26941.168979999999</v>
      </c>
      <c r="M53" s="138"/>
      <c r="O53" s="67"/>
    </row>
    <row r="54" spans="1:15" x14ac:dyDescent="0.25">
      <c r="A54" s="356"/>
      <c r="B54" s="356"/>
      <c r="C54" s="169"/>
      <c r="D54" s="169"/>
      <c r="E54" s="169"/>
      <c r="F54" s="169"/>
      <c r="G54" s="138"/>
      <c r="H54" s="138"/>
      <c r="I54" s="138"/>
      <c r="J54" s="138"/>
      <c r="K54" s="169"/>
      <c r="L54" s="358"/>
      <c r="M54" s="138"/>
    </row>
    <row r="55" spans="1:15" x14ac:dyDescent="0.25">
      <c r="A55" s="356"/>
      <c r="B55" s="356"/>
      <c r="C55" s="169"/>
      <c r="D55" s="169"/>
      <c r="E55" s="169"/>
      <c r="F55" s="169"/>
      <c r="G55" s="138"/>
      <c r="H55" s="138"/>
      <c r="I55" s="138"/>
      <c r="J55" s="138"/>
      <c r="K55" s="169"/>
      <c r="L55" s="358"/>
      <c r="M55" s="138"/>
    </row>
    <row r="56" spans="1:15" x14ac:dyDescent="0.25">
      <c r="A56" s="359"/>
      <c r="B56" s="359"/>
      <c r="C56" s="360"/>
      <c r="D56" s="359"/>
      <c r="E56" s="359"/>
      <c r="F56" s="359"/>
      <c r="G56" s="361"/>
      <c r="H56" s="361"/>
      <c r="I56" s="361"/>
      <c r="J56" s="362"/>
      <c r="K56" s="360"/>
      <c r="L56" s="363"/>
      <c r="M56" s="361"/>
    </row>
    <row r="57" spans="1:15" ht="15" customHeight="1" x14ac:dyDescent="0.25">
      <c r="A57" s="391" t="s">
        <v>53</v>
      </c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O57" s="62"/>
    </row>
    <row r="58" spans="1:15" x14ac:dyDescent="0.25">
      <c r="A58" s="68"/>
      <c r="B58" s="68"/>
      <c r="C58" s="68"/>
      <c r="D58" s="68"/>
      <c r="E58" s="68"/>
      <c r="F58" s="68"/>
      <c r="G58" s="68"/>
      <c r="H58" s="68"/>
      <c r="I58" s="68"/>
      <c r="K58" s="68"/>
      <c r="L58" s="73"/>
      <c r="M58" s="68"/>
    </row>
    <row r="59" spans="1:15" x14ac:dyDescent="0.25">
      <c r="A59" s="68"/>
      <c r="B59" s="68"/>
      <c r="C59" s="68"/>
      <c r="D59" s="68"/>
      <c r="E59" s="68"/>
      <c r="F59" s="68"/>
      <c r="G59" s="68"/>
      <c r="H59" s="68"/>
      <c r="I59" s="68"/>
      <c r="K59" s="68"/>
      <c r="L59" s="73"/>
      <c r="M59" s="68"/>
      <c r="O59" s="62"/>
    </row>
    <row r="60" spans="1:15" x14ac:dyDescent="0.25">
      <c r="A60" s="388"/>
      <c r="B60" s="388"/>
      <c r="C60" s="388"/>
      <c r="D60" s="388"/>
      <c r="E60" s="388"/>
      <c r="F60" s="388"/>
      <c r="G60" s="388"/>
      <c r="J60" s="73"/>
    </row>
    <row r="61" spans="1:15" x14ac:dyDescent="0.25">
      <c r="A61" s="68"/>
      <c r="B61" s="68"/>
      <c r="C61" s="71"/>
      <c r="D61" s="71"/>
      <c r="E61" s="71"/>
      <c r="F61" s="71"/>
      <c r="G61" s="68"/>
      <c r="H61" s="68"/>
      <c r="I61" s="68"/>
      <c r="J61" s="73"/>
      <c r="K61" s="68"/>
      <c r="M61" s="68"/>
    </row>
    <row r="63" spans="1:15" x14ac:dyDescent="0.25">
      <c r="A63" s="68"/>
      <c r="B63" s="68"/>
      <c r="C63" s="71"/>
      <c r="D63" s="71"/>
      <c r="E63" s="71"/>
      <c r="F63" s="71"/>
      <c r="G63" s="68"/>
      <c r="H63" s="68"/>
      <c r="I63" s="68"/>
      <c r="K63" s="68"/>
      <c r="M63" s="68"/>
    </row>
    <row r="64" spans="1:15" x14ac:dyDescent="0.25">
      <c r="A64" s="68"/>
      <c r="B64" s="68"/>
      <c r="C64" s="68"/>
      <c r="D64" s="68"/>
      <c r="E64" s="68"/>
      <c r="F64" s="68"/>
      <c r="G64" s="68"/>
      <c r="H64" s="68"/>
      <c r="I64" s="68"/>
      <c r="K64" s="68"/>
      <c r="M64" s="68"/>
    </row>
    <row r="65" spans="1:13" x14ac:dyDescent="0.25">
      <c r="A65" s="68"/>
      <c r="B65" s="68"/>
      <c r="C65" s="68"/>
      <c r="D65" s="68"/>
      <c r="E65" s="68"/>
      <c r="F65" s="68"/>
      <c r="G65" s="68"/>
      <c r="H65" s="68"/>
      <c r="I65" s="68"/>
      <c r="K65" s="68"/>
      <c r="M65" s="68"/>
    </row>
    <row r="66" spans="1:13" x14ac:dyDescent="0.25">
      <c r="A66" s="68"/>
      <c r="B66" s="68"/>
      <c r="C66" s="68"/>
      <c r="D66" s="68"/>
      <c r="E66" s="68"/>
      <c r="F66" s="68"/>
      <c r="G66" s="68"/>
      <c r="H66" s="68"/>
      <c r="I66" s="68"/>
      <c r="K66" s="68"/>
      <c r="M66" s="68"/>
    </row>
    <row r="70" spans="1:13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K70" s="123"/>
      <c r="M70" s="123"/>
    </row>
  </sheetData>
  <mergeCells count="8">
    <mergeCell ref="A9:L9"/>
    <mergeCell ref="A10:L10"/>
    <mergeCell ref="A12:L12"/>
    <mergeCell ref="A57:M57"/>
    <mergeCell ref="A60:G60"/>
    <mergeCell ref="A14:M14"/>
    <mergeCell ref="A15:M15"/>
    <mergeCell ref="A16:M16"/>
  </mergeCells>
  <pageMargins left="0.62992125984251968" right="0.78740157480314965" top="1.8897637795275593" bottom="0.78740157480314965" header="0.19685039370078741" footer="0"/>
  <pageSetup paperSize="9" scale="83" orientation="portrait" r:id="rId1"/>
  <headerFooter alignWithMargins="0"/>
  <rowBreaks count="1" manualBreakCount="1">
    <brk id="57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22" customWidth="1"/>
    <col min="2" max="2" width="2.7109375" style="122" customWidth="1"/>
    <col min="3" max="3" width="12.7109375" style="122" hidden="1" customWidth="1"/>
    <col min="4" max="4" width="2.7109375" style="122" customWidth="1"/>
    <col min="5" max="5" width="12.7109375" style="122" bestFit="1" customWidth="1"/>
    <col min="6" max="7" width="3.140625" style="122" customWidth="1"/>
    <col min="8" max="8" width="12.7109375" style="122" customWidth="1"/>
    <col min="9" max="10" width="2.7109375" style="122" customWidth="1"/>
    <col min="11" max="11" width="12.7109375" style="122" customWidth="1"/>
    <col min="12" max="13" width="2.7109375" style="122" customWidth="1"/>
    <col min="14" max="14" width="12.7109375" style="122" customWidth="1"/>
    <col min="15" max="245" width="9.140625" style="122"/>
    <col min="246" max="246" width="56.42578125" style="122" bestFit="1" customWidth="1"/>
    <col min="247" max="247" width="12.7109375" style="122" bestFit="1" customWidth="1"/>
    <col min="248" max="248" width="2.7109375" style="122" customWidth="1"/>
    <col min="249" max="249" width="12.7109375" style="122" bestFit="1" customWidth="1"/>
    <col min="250" max="250" width="2.7109375" style="122" customWidth="1"/>
    <col min="251" max="251" width="9.140625" style="122"/>
    <col min="252" max="252" width="12.5703125" style="122" bestFit="1" customWidth="1"/>
    <col min="253" max="501" width="9.140625" style="122"/>
    <col min="502" max="502" width="56.42578125" style="122" bestFit="1" customWidth="1"/>
    <col min="503" max="503" width="12.7109375" style="122" bestFit="1" customWidth="1"/>
    <col min="504" max="504" width="2.7109375" style="122" customWidth="1"/>
    <col min="505" max="505" width="12.7109375" style="122" bestFit="1" customWidth="1"/>
    <col min="506" max="506" width="2.7109375" style="122" customWidth="1"/>
    <col min="507" max="507" width="9.140625" style="122"/>
    <col min="508" max="508" width="12.5703125" style="122" bestFit="1" customWidth="1"/>
    <col min="509" max="757" width="9.140625" style="122"/>
    <col min="758" max="758" width="56.42578125" style="122" bestFit="1" customWidth="1"/>
    <col min="759" max="759" width="12.7109375" style="122" bestFit="1" customWidth="1"/>
    <col min="760" max="760" width="2.7109375" style="122" customWidth="1"/>
    <col min="761" max="761" width="12.7109375" style="122" bestFit="1" customWidth="1"/>
    <col min="762" max="762" width="2.7109375" style="122" customWidth="1"/>
    <col min="763" max="763" width="9.140625" style="122"/>
    <col min="764" max="764" width="12.5703125" style="122" bestFit="1" customWidth="1"/>
    <col min="765" max="1013" width="9.140625" style="122"/>
    <col min="1014" max="1014" width="56.42578125" style="122" bestFit="1" customWidth="1"/>
    <col min="1015" max="1015" width="12.7109375" style="122" bestFit="1" customWidth="1"/>
    <col min="1016" max="1016" width="2.7109375" style="122" customWidth="1"/>
    <col min="1017" max="1017" width="12.7109375" style="122" bestFit="1" customWidth="1"/>
    <col min="1018" max="1018" width="2.7109375" style="122" customWidth="1"/>
    <col min="1019" max="1019" width="9.140625" style="122"/>
    <col min="1020" max="1020" width="12.5703125" style="122" bestFit="1" customWidth="1"/>
    <col min="1021" max="1269" width="9.140625" style="122"/>
    <col min="1270" max="1270" width="56.42578125" style="122" bestFit="1" customWidth="1"/>
    <col min="1271" max="1271" width="12.7109375" style="122" bestFit="1" customWidth="1"/>
    <col min="1272" max="1272" width="2.7109375" style="122" customWidth="1"/>
    <col min="1273" max="1273" width="12.7109375" style="122" bestFit="1" customWidth="1"/>
    <col min="1274" max="1274" width="2.7109375" style="122" customWidth="1"/>
    <col min="1275" max="1275" width="9.140625" style="122"/>
    <col min="1276" max="1276" width="12.5703125" style="122" bestFit="1" customWidth="1"/>
    <col min="1277" max="1525" width="9.140625" style="122"/>
    <col min="1526" max="1526" width="56.42578125" style="122" bestFit="1" customWidth="1"/>
    <col min="1527" max="1527" width="12.7109375" style="122" bestFit="1" customWidth="1"/>
    <col min="1528" max="1528" width="2.7109375" style="122" customWidth="1"/>
    <col min="1529" max="1529" width="12.7109375" style="122" bestFit="1" customWidth="1"/>
    <col min="1530" max="1530" width="2.7109375" style="122" customWidth="1"/>
    <col min="1531" max="1531" width="9.140625" style="122"/>
    <col min="1532" max="1532" width="12.5703125" style="122" bestFit="1" customWidth="1"/>
    <col min="1533" max="1781" width="9.140625" style="122"/>
    <col min="1782" max="1782" width="56.42578125" style="122" bestFit="1" customWidth="1"/>
    <col min="1783" max="1783" width="12.7109375" style="122" bestFit="1" customWidth="1"/>
    <col min="1784" max="1784" width="2.7109375" style="122" customWidth="1"/>
    <col min="1785" max="1785" width="12.7109375" style="122" bestFit="1" customWidth="1"/>
    <col min="1786" max="1786" width="2.7109375" style="122" customWidth="1"/>
    <col min="1787" max="1787" width="9.140625" style="122"/>
    <col min="1788" max="1788" width="12.5703125" style="122" bestFit="1" customWidth="1"/>
    <col min="1789" max="2037" width="9.140625" style="122"/>
    <col min="2038" max="2038" width="56.42578125" style="122" bestFit="1" customWidth="1"/>
    <col min="2039" max="2039" width="12.7109375" style="122" bestFit="1" customWidth="1"/>
    <col min="2040" max="2040" width="2.7109375" style="122" customWidth="1"/>
    <col min="2041" max="2041" width="12.7109375" style="122" bestFit="1" customWidth="1"/>
    <col min="2042" max="2042" width="2.7109375" style="122" customWidth="1"/>
    <col min="2043" max="2043" width="9.140625" style="122"/>
    <col min="2044" max="2044" width="12.5703125" style="122" bestFit="1" customWidth="1"/>
    <col min="2045" max="2293" width="9.140625" style="122"/>
    <col min="2294" max="2294" width="56.42578125" style="122" bestFit="1" customWidth="1"/>
    <col min="2295" max="2295" width="12.7109375" style="122" bestFit="1" customWidth="1"/>
    <col min="2296" max="2296" width="2.7109375" style="122" customWidth="1"/>
    <col min="2297" max="2297" width="12.7109375" style="122" bestFit="1" customWidth="1"/>
    <col min="2298" max="2298" width="2.7109375" style="122" customWidth="1"/>
    <col min="2299" max="2299" width="9.140625" style="122"/>
    <col min="2300" max="2300" width="12.5703125" style="122" bestFit="1" customWidth="1"/>
    <col min="2301" max="2549" width="9.140625" style="122"/>
    <col min="2550" max="2550" width="56.42578125" style="122" bestFit="1" customWidth="1"/>
    <col min="2551" max="2551" width="12.7109375" style="122" bestFit="1" customWidth="1"/>
    <col min="2552" max="2552" width="2.7109375" style="122" customWidth="1"/>
    <col min="2553" max="2553" width="12.7109375" style="122" bestFit="1" customWidth="1"/>
    <col min="2554" max="2554" width="2.7109375" style="122" customWidth="1"/>
    <col min="2555" max="2555" width="9.140625" style="122"/>
    <col min="2556" max="2556" width="12.5703125" style="122" bestFit="1" customWidth="1"/>
    <col min="2557" max="2805" width="9.140625" style="122"/>
    <col min="2806" max="2806" width="56.42578125" style="122" bestFit="1" customWidth="1"/>
    <col min="2807" max="2807" width="12.7109375" style="122" bestFit="1" customWidth="1"/>
    <col min="2808" max="2808" width="2.7109375" style="122" customWidth="1"/>
    <col min="2809" max="2809" width="12.7109375" style="122" bestFit="1" customWidth="1"/>
    <col min="2810" max="2810" width="2.7109375" style="122" customWidth="1"/>
    <col min="2811" max="2811" width="9.140625" style="122"/>
    <col min="2812" max="2812" width="12.5703125" style="122" bestFit="1" customWidth="1"/>
    <col min="2813" max="3061" width="9.140625" style="122"/>
    <col min="3062" max="3062" width="56.42578125" style="122" bestFit="1" customWidth="1"/>
    <col min="3063" max="3063" width="12.7109375" style="122" bestFit="1" customWidth="1"/>
    <col min="3064" max="3064" width="2.7109375" style="122" customWidth="1"/>
    <col min="3065" max="3065" width="12.7109375" style="122" bestFit="1" customWidth="1"/>
    <col min="3066" max="3066" width="2.7109375" style="122" customWidth="1"/>
    <col min="3067" max="3067" width="9.140625" style="122"/>
    <col min="3068" max="3068" width="12.5703125" style="122" bestFit="1" customWidth="1"/>
    <col min="3069" max="3317" width="9.140625" style="122"/>
    <col min="3318" max="3318" width="56.42578125" style="122" bestFit="1" customWidth="1"/>
    <col min="3319" max="3319" width="12.7109375" style="122" bestFit="1" customWidth="1"/>
    <col min="3320" max="3320" width="2.7109375" style="122" customWidth="1"/>
    <col min="3321" max="3321" width="12.7109375" style="122" bestFit="1" customWidth="1"/>
    <col min="3322" max="3322" width="2.7109375" style="122" customWidth="1"/>
    <col min="3323" max="3323" width="9.140625" style="122"/>
    <col min="3324" max="3324" width="12.5703125" style="122" bestFit="1" customWidth="1"/>
    <col min="3325" max="3573" width="9.140625" style="122"/>
    <col min="3574" max="3574" width="56.42578125" style="122" bestFit="1" customWidth="1"/>
    <col min="3575" max="3575" width="12.7109375" style="122" bestFit="1" customWidth="1"/>
    <col min="3576" max="3576" width="2.7109375" style="122" customWidth="1"/>
    <col min="3577" max="3577" width="12.7109375" style="122" bestFit="1" customWidth="1"/>
    <col min="3578" max="3578" width="2.7109375" style="122" customWidth="1"/>
    <col min="3579" max="3579" width="9.140625" style="122"/>
    <col min="3580" max="3580" width="12.5703125" style="122" bestFit="1" customWidth="1"/>
    <col min="3581" max="3829" width="9.140625" style="122"/>
    <col min="3830" max="3830" width="56.42578125" style="122" bestFit="1" customWidth="1"/>
    <col min="3831" max="3831" width="12.7109375" style="122" bestFit="1" customWidth="1"/>
    <col min="3832" max="3832" width="2.7109375" style="122" customWidth="1"/>
    <col min="3833" max="3833" width="12.7109375" style="122" bestFit="1" customWidth="1"/>
    <col min="3834" max="3834" width="2.7109375" style="122" customWidth="1"/>
    <col min="3835" max="3835" width="9.140625" style="122"/>
    <col min="3836" max="3836" width="12.5703125" style="122" bestFit="1" customWidth="1"/>
    <col min="3837" max="4085" width="9.140625" style="122"/>
    <col min="4086" max="4086" width="56.42578125" style="122" bestFit="1" customWidth="1"/>
    <col min="4087" max="4087" width="12.7109375" style="122" bestFit="1" customWidth="1"/>
    <col min="4088" max="4088" width="2.7109375" style="122" customWidth="1"/>
    <col min="4089" max="4089" width="12.7109375" style="122" bestFit="1" customWidth="1"/>
    <col min="4090" max="4090" width="2.7109375" style="122" customWidth="1"/>
    <col min="4091" max="4091" width="9.140625" style="122"/>
    <col min="4092" max="4092" width="12.5703125" style="122" bestFit="1" customWidth="1"/>
    <col min="4093" max="4341" width="9.140625" style="122"/>
    <col min="4342" max="4342" width="56.42578125" style="122" bestFit="1" customWidth="1"/>
    <col min="4343" max="4343" width="12.7109375" style="122" bestFit="1" customWidth="1"/>
    <col min="4344" max="4344" width="2.7109375" style="122" customWidth="1"/>
    <col min="4345" max="4345" width="12.7109375" style="122" bestFit="1" customWidth="1"/>
    <col min="4346" max="4346" width="2.7109375" style="122" customWidth="1"/>
    <col min="4347" max="4347" width="9.140625" style="122"/>
    <col min="4348" max="4348" width="12.5703125" style="122" bestFit="1" customWidth="1"/>
    <col min="4349" max="4597" width="9.140625" style="122"/>
    <col min="4598" max="4598" width="56.42578125" style="122" bestFit="1" customWidth="1"/>
    <col min="4599" max="4599" width="12.7109375" style="122" bestFit="1" customWidth="1"/>
    <col min="4600" max="4600" width="2.7109375" style="122" customWidth="1"/>
    <col min="4601" max="4601" width="12.7109375" style="122" bestFit="1" customWidth="1"/>
    <col min="4602" max="4602" width="2.7109375" style="122" customWidth="1"/>
    <col min="4603" max="4603" width="9.140625" style="122"/>
    <col min="4604" max="4604" width="12.5703125" style="122" bestFit="1" customWidth="1"/>
    <col min="4605" max="4853" width="9.140625" style="122"/>
    <col min="4854" max="4854" width="56.42578125" style="122" bestFit="1" customWidth="1"/>
    <col min="4855" max="4855" width="12.7109375" style="122" bestFit="1" customWidth="1"/>
    <col min="4856" max="4856" width="2.7109375" style="122" customWidth="1"/>
    <col min="4857" max="4857" width="12.7109375" style="122" bestFit="1" customWidth="1"/>
    <col min="4858" max="4858" width="2.7109375" style="122" customWidth="1"/>
    <col min="4859" max="4859" width="9.140625" style="122"/>
    <col min="4860" max="4860" width="12.5703125" style="122" bestFit="1" customWidth="1"/>
    <col min="4861" max="5109" width="9.140625" style="122"/>
    <col min="5110" max="5110" width="56.42578125" style="122" bestFit="1" customWidth="1"/>
    <col min="5111" max="5111" width="12.7109375" style="122" bestFit="1" customWidth="1"/>
    <col min="5112" max="5112" width="2.7109375" style="122" customWidth="1"/>
    <col min="5113" max="5113" width="12.7109375" style="122" bestFit="1" customWidth="1"/>
    <col min="5114" max="5114" width="2.7109375" style="122" customWidth="1"/>
    <col min="5115" max="5115" width="9.140625" style="122"/>
    <col min="5116" max="5116" width="12.5703125" style="122" bestFit="1" customWidth="1"/>
    <col min="5117" max="5365" width="9.140625" style="122"/>
    <col min="5366" max="5366" width="56.42578125" style="122" bestFit="1" customWidth="1"/>
    <col min="5367" max="5367" width="12.7109375" style="122" bestFit="1" customWidth="1"/>
    <col min="5368" max="5368" width="2.7109375" style="122" customWidth="1"/>
    <col min="5369" max="5369" width="12.7109375" style="122" bestFit="1" customWidth="1"/>
    <col min="5370" max="5370" width="2.7109375" style="122" customWidth="1"/>
    <col min="5371" max="5371" width="9.140625" style="122"/>
    <col min="5372" max="5372" width="12.5703125" style="122" bestFit="1" customWidth="1"/>
    <col min="5373" max="5621" width="9.140625" style="122"/>
    <col min="5622" max="5622" width="56.42578125" style="122" bestFit="1" customWidth="1"/>
    <col min="5623" max="5623" width="12.7109375" style="122" bestFit="1" customWidth="1"/>
    <col min="5624" max="5624" width="2.7109375" style="122" customWidth="1"/>
    <col min="5625" max="5625" width="12.7109375" style="122" bestFit="1" customWidth="1"/>
    <col min="5626" max="5626" width="2.7109375" style="122" customWidth="1"/>
    <col min="5627" max="5627" width="9.140625" style="122"/>
    <col min="5628" max="5628" width="12.5703125" style="122" bestFit="1" customWidth="1"/>
    <col min="5629" max="5877" width="9.140625" style="122"/>
    <col min="5878" max="5878" width="56.42578125" style="122" bestFit="1" customWidth="1"/>
    <col min="5879" max="5879" width="12.7109375" style="122" bestFit="1" customWidth="1"/>
    <col min="5880" max="5880" width="2.7109375" style="122" customWidth="1"/>
    <col min="5881" max="5881" width="12.7109375" style="122" bestFit="1" customWidth="1"/>
    <col min="5882" max="5882" width="2.7109375" style="122" customWidth="1"/>
    <col min="5883" max="5883" width="9.140625" style="122"/>
    <col min="5884" max="5884" width="12.5703125" style="122" bestFit="1" customWidth="1"/>
    <col min="5885" max="6133" width="9.140625" style="122"/>
    <col min="6134" max="6134" width="56.42578125" style="122" bestFit="1" customWidth="1"/>
    <col min="6135" max="6135" width="12.7109375" style="122" bestFit="1" customWidth="1"/>
    <col min="6136" max="6136" width="2.7109375" style="122" customWidth="1"/>
    <col min="6137" max="6137" width="12.7109375" style="122" bestFit="1" customWidth="1"/>
    <col min="6138" max="6138" width="2.7109375" style="122" customWidth="1"/>
    <col min="6139" max="6139" width="9.140625" style="122"/>
    <col min="6140" max="6140" width="12.5703125" style="122" bestFit="1" customWidth="1"/>
    <col min="6141" max="6389" width="9.140625" style="122"/>
    <col min="6390" max="6390" width="56.42578125" style="122" bestFit="1" customWidth="1"/>
    <col min="6391" max="6391" width="12.7109375" style="122" bestFit="1" customWidth="1"/>
    <col min="6392" max="6392" width="2.7109375" style="122" customWidth="1"/>
    <col min="6393" max="6393" width="12.7109375" style="122" bestFit="1" customWidth="1"/>
    <col min="6394" max="6394" width="2.7109375" style="122" customWidth="1"/>
    <col min="6395" max="6395" width="9.140625" style="122"/>
    <col min="6396" max="6396" width="12.5703125" style="122" bestFit="1" customWidth="1"/>
    <col min="6397" max="6645" width="9.140625" style="122"/>
    <col min="6646" max="6646" width="56.42578125" style="122" bestFit="1" customWidth="1"/>
    <col min="6647" max="6647" width="12.7109375" style="122" bestFit="1" customWidth="1"/>
    <col min="6648" max="6648" width="2.7109375" style="122" customWidth="1"/>
    <col min="6649" max="6649" width="12.7109375" style="122" bestFit="1" customWidth="1"/>
    <col min="6650" max="6650" width="2.7109375" style="122" customWidth="1"/>
    <col min="6651" max="6651" width="9.140625" style="122"/>
    <col min="6652" max="6652" width="12.5703125" style="122" bestFit="1" customWidth="1"/>
    <col min="6653" max="6901" width="9.140625" style="122"/>
    <col min="6902" max="6902" width="56.42578125" style="122" bestFit="1" customWidth="1"/>
    <col min="6903" max="6903" width="12.7109375" style="122" bestFit="1" customWidth="1"/>
    <col min="6904" max="6904" width="2.7109375" style="122" customWidth="1"/>
    <col min="6905" max="6905" width="12.7109375" style="122" bestFit="1" customWidth="1"/>
    <col min="6906" max="6906" width="2.7109375" style="122" customWidth="1"/>
    <col min="6907" max="6907" width="9.140625" style="122"/>
    <col min="6908" max="6908" width="12.5703125" style="122" bestFit="1" customWidth="1"/>
    <col min="6909" max="7157" width="9.140625" style="122"/>
    <col min="7158" max="7158" width="56.42578125" style="122" bestFit="1" customWidth="1"/>
    <col min="7159" max="7159" width="12.7109375" style="122" bestFit="1" customWidth="1"/>
    <col min="7160" max="7160" width="2.7109375" style="122" customWidth="1"/>
    <col min="7161" max="7161" width="12.7109375" style="122" bestFit="1" customWidth="1"/>
    <col min="7162" max="7162" width="2.7109375" style="122" customWidth="1"/>
    <col min="7163" max="7163" width="9.140625" style="122"/>
    <col min="7164" max="7164" width="12.5703125" style="122" bestFit="1" customWidth="1"/>
    <col min="7165" max="7413" width="9.140625" style="122"/>
    <col min="7414" max="7414" width="56.42578125" style="122" bestFit="1" customWidth="1"/>
    <col min="7415" max="7415" width="12.7109375" style="122" bestFit="1" customWidth="1"/>
    <col min="7416" max="7416" width="2.7109375" style="122" customWidth="1"/>
    <col min="7417" max="7417" width="12.7109375" style="122" bestFit="1" customWidth="1"/>
    <col min="7418" max="7418" width="2.7109375" style="122" customWidth="1"/>
    <col min="7419" max="7419" width="9.140625" style="122"/>
    <col min="7420" max="7420" width="12.5703125" style="122" bestFit="1" customWidth="1"/>
    <col min="7421" max="7669" width="9.140625" style="122"/>
    <col min="7670" max="7670" width="56.42578125" style="122" bestFit="1" customWidth="1"/>
    <col min="7671" max="7671" width="12.7109375" style="122" bestFit="1" customWidth="1"/>
    <col min="7672" max="7672" width="2.7109375" style="122" customWidth="1"/>
    <col min="7673" max="7673" width="12.7109375" style="122" bestFit="1" customWidth="1"/>
    <col min="7674" max="7674" width="2.7109375" style="122" customWidth="1"/>
    <col min="7675" max="7675" width="9.140625" style="122"/>
    <col min="7676" max="7676" width="12.5703125" style="122" bestFit="1" customWidth="1"/>
    <col min="7677" max="7925" width="9.140625" style="122"/>
    <col min="7926" max="7926" width="56.42578125" style="122" bestFit="1" customWidth="1"/>
    <col min="7927" max="7927" width="12.7109375" style="122" bestFit="1" customWidth="1"/>
    <col min="7928" max="7928" width="2.7109375" style="122" customWidth="1"/>
    <col min="7929" max="7929" width="12.7109375" style="122" bestFit="1" customWidth="1"/>
    <col min="7930" max="7930" width="2.7109375" style="122" customWidth="1"/>
    <col min="7931" max="7931" width="9.140625" style="122"/>
    <col min="7932" max="7932" width="12.5703125" style="122" bestFit="1" customWidth="1"/>
    <col min="7933" max="8181" width="9.140625" style="122"/>
    <col min="8182" max="8182" width="56.42578125" style="122" bestFit="1" customWidth="1"/>
    <col min="8183" max="8183" width="12.7109375" style="122" bestFit="1" customWidth="1"/>
    <col min="8184" max="8184" width="2.7109375" style="122" customWidth="1"/>
    <col min="8185" max="8185" width="12.7109375" style="122" bestFit="1" customWidth="1"/>
    <col min="8186" max="8186" width="2.7109375" style="122" customWidth="1"/>
    <col min="8187" max="8187" width="9.140625" style="122"/>
    <col min="8188" max="8188" width="12.5703125" style="122" bestFit="1" customWidth="1"/>
    <col min="8189" max="8437" width="9.140625" style="122"/>
    <col min="8438" max="8438" width="56.42578125" style="122" bestFit="1" customWidth="1"/>
    <col min="8439" max="8439" width="12.7109375" style="122" bestFit="1" customWidth="1"/>
    <col min="8440" max="8440" width="2.7109375" style="122" customWidth="1"/>
    <col min="8441" max="8441" width="12.7109375" style="122" bestFit="1" customWidth="1"/>
    <col min="8442" max="8442" width="2.7109375" style="122" customWidth="1"/>
    <col min="8443" max="8443" width="9.140625" style="122"/>
    <col min="8444" max="8444" width="12.5703125" style="122" bestFit="1" customWidth="1"/>
    <col min="8445" max="8693" width="9.140625" style="122"/>
    <col min="8694" max="8694" width="56.42578125" style="122" bestFit="1" customWidth="1"/>
    <col min="8695" max="8695" width="12.7109375" style="122" bestFit="1" customWidth="1"/>
    <col min="8696" max="8696" width="2.7109375" style="122" customWidth="1"/>
    <col min="8697" max="8697" width="12.7109375" style="122" bestFit="1" customWidth="1"/>
    <col min="8698" max="8698" width="2.7109375" style="122" customWidth="1"/>
    <col min="8699" max="8699" width="9.140625" style="122"/>
    <col min="8700" max="8700" width="12.5703125" style="122" bestFit="1" customWidth="1"/>
    <col min="8701" max="8949" width="9.140625" style="122"/>
    <col min="8950" max="8950" width="56.42578125" style="122" bestFit="1" customWidth="1"/>
    <col min="8951" max="8951" width="12.7109375" style="122" bestFit="1" customWidth="1"/>
    <col min="8952" max="8952" width="2.7109375" style="122" customWidth="1"/>
    <col min="8953" max="8953" width="12.7109375" style="122" bestFit="1" customWidth="1"/>
    <col min="8954" max="8954" width="2.7109375" style="122" customWidth="1"/>
    <col min="8955" max="8955" width="9.140625" style="122"/>
    <col min="8956" max="8956" width="12.5703125" style="122" bestFit="1" customWidth="1"/>
    <col min="8957" max="9205" width="9.140625" style="122"/>
    <col min="9206" max="9206" width="56.42578125" style="122" bestFit="1" customWidth="1"/>
    <col min="9207" max="9207" width="12.7109375" style="122" bestFit="1" customWidth="1"/>
    <col min="9208" max="9208" width="2.7109375" style="122" customWidth="1"/>
    <col min="9209" max="9209" width="12.7109375" style="122" bestFit="1" customWidth="1"/>
    <col min="9210" max="9210" width="2.7109375" style="122" customWidth="1"/>
    <col min="9211" max="9211" width="9.140625" style="122"/>
    <col min="9212" max="9212" width="12.5703125" style="122" bestFit="1" customWidth="1"/>
    <col min="9213" max="9461" width="9.140625" style="122"/>
    <col min="9462" max="9462" width="56.42578125" style="122" bestFit="1" customWidth="1"/>
    <col min="9463" max="9463" width="12.7109375" style="122" bestFit="1" customWidth="1"/>
    <col min="9464" max="9464" width="2.7109375" style="122" customWidth="1"/>
    <col min="9465" max="9465" width="12.7109375" style="122" bestFit="1" customWidth="1"/>
    <col min="9466" max="9466" width="2.7109375" style="122" customWidth="1"/>
    <col min="9467" max="9467" width="9.140625" style="122"/>
    <col min="9468" max="9468" width="12.5703125" style="122" bestFit="1" customWidth="1"/>
    <col min="9469" max="9717" width="9.140625" style="122"/>
    <col min="9718" max="9718" width="56.42578125" style="122" bestFit="1" customWidth="1"/>
    <col min="9719" max="9719" width="12.7109375" style="122" bestFit="1" customWidth="1"/>
    <col min="9720" max="9720" width="2.7109375" style="122" customWidth="1"/>
    <col min="9721" max="9721" width="12.7109375" style="122" bestFit="1" customWidth="1"/>
    <col min="9722" max="9722" width="2.7109375" style="122" customWidth="1"/>
    <col min="9723" max="9723" width="9.140625" style="122"/>
    <col min="9724" max="9724" width="12.5703125" style="122" bestFit="1" customWidth="1"/>
    <col min="9725" max="9973" width="9.140625" style="122"/>
    <col min="9974" max="9974" width="56.42578125" style="122" bestFit="1" customWidth="1"/>
    <col min="9975" max="9975" width="12.7109375" style="122" bestFit="1" customWidth="1"/>
    <col min="9976" max="9976" width="2.7109375" style="122" customWidth="1"/>
    <col min="9977" max="9977" width="12.7109375" style="122" bestFit="1" customWidth="1"/>
    <col min="9978" max="9978" width="2.7109375" style="122" customWidth="1"/>
    <col min="9979" max="9979" width="9.140625" style="122"/>
    <col min="9980" max="9980" width="12.5703125" style="122" bestFit="1" customWidth="1"/>
    <col min="9981" max="10229" width="9.140625" style="122"/>
    <col min="10230" max="10230" width="56.42578125" style="122" bestFit="1" customWidth="1"/>
    <col min="10231" max="10231" width="12.7109375" style="122" bestFit="1" customWidth="1"/>
    <col min="10232" max="10232" width="2.7109375" style="122" customWidth="1"/>
    <col min="10233" max="10233" width="12.7109375" style="122" bestFit="1" customWidth="1"/>
    <col min="10234" max="10234" width="2.7109375" style="122" customWidth="1"/>
    <col min="10235" max="10235" width="9.140625" style="122"/>
    <col min="10236" max="10236" width="12.5703125" style="122" bestFit="1" customWidth="1"/>
    <col min="10237" max="10485" width="9.140625" style="122"/>
    <col min="10486" max="10486" width="56.42578125" style="122" bestFit="1" customWidth="1"/>
    <col min="10487" max="10487" width="12.7109375" style="122" bestFit="1" customWidth="1"/>
    <col min="10488" max="10488" width="2.7109375" style="122" customWidth="1"/>
    <col min="10489" max="10489" width="12.7109375" style="122" bestFit="1" customWidth="1"/>
    <col min="10490" max="10490" width="2.7109375" style="122" customWidth="1"/>
    <col min="10491" max="10491" width="9.140625" style="122"/>
    <col min="10492" max="10492" width="12.5703125" style="122" bestFit="1" customWidth="1"/>
    <col min="10493" max="10741" width="9.140625" style="122"/>
    <col min="10742" max="10742" width="56.42578125" style="122" bestFit="1" customWidth="1"/>
    <col min="10743" max="10743" width="12.7109375" style="122" bestFit="1" customWidth="1"/>
    <col min="10744" max="10744" width="2.7109375" style="122" customWidth="1"/>
    <col min="10745" max="10745" width="12.7109375" style="122" bestFit="1" customWidth="1"/>
    <col min="10746" max="10746" width="2.7109375" style="122" customWidth="1"/>
    <col min="10747" max="10747" width="9.140625" style="122"/>
    <col min="10748" max="10748" width="12.5703125" style="122" bestFit="1" customWidth="1"/>
    <col min="10749" max="10997" width="9.140625" style="122"/>
    <col min="10998" max="10998" width="56.42578125" style="122" bestFit="1" customWidth="1"/>
    <col min="10999" max="10999" width="12.7109375" style="122" bestFit="1" customWidth="1"/>
    <col min="11000" max="11000" width="2.7109375" style="122" customWidth="1"/>
    <col min="11001" max="11001" width="12.7109375" style="122" bestFit="1" customWidth="1"/>
    <col min="11002" max="11002" width="2.7109375" style="122" customWidth="1"/>
    <col min="11003" max="11003" width="9.140625" style="122"/>
    <col min="11004" max="11004" width="12.5703125" style="122" bestFit="1" customWidth="1"/>
    <col min="11005" max="11253" width="9.140625" style="122"/>
    <col min="11254" max="11254" width="56.42578125" style="122" bestFit="1" customWidth="1"/>
    <col min="11255" max="11255" width="12.7109375" style="122" bestFit="1" customWidth="1"/>
    <col min="11256" max="11256" width="2.7109375" style="122" customWidth="1"/>
    <col min="11257" max="11257" width="12.7109375" style="122" bestFit="1" customWidth="1"/>
    <col min="11258" max="11258" width="2.7109375" style="122" customWidth="1"/>
    <col min="11259" max="11259" width="9.140625" style="122"/>
    <col min="11260" max="11260" width="12.5703125" style="122" bestFit="1" customWidth="1"/>
    <col min="11261" max="11509" width="9.140625" style="122"/>
    <col min="11510" max="11510" width="56.42578125" style="122" bestFit="1" customWidth="1"/>
    <col min="11511" max="11511" width="12.7109375" style="122" bestFit="1" customWidth="1"/>
    <col min="11512" max="11512" width="2.7109375" style="122" customWidth="1"/>
    <col min="11513" max="11513" width="12.7109375" style="122" bestFit="1" customWidth="1"/>
    <col min="11514" max="11514" width="2.7109375" style="122" customWidth="1"/>
    <col min="11515" max="11515" width="9.140625" style="122"/>
    <col min="11516" max="11516" width="12.5703125" style="122" bestFit="1" customWidth="1"/>
    <col min="11517" max="11765" width="9.140625" style="122"/>
    <col min="11766" max="11766" width="56.42578125" style="122" bestFit="1" customWidth="1"/>
    <col min="11767" max="11767" width="12.7109375" style="122" bestFit="1" customWidth="1"/>
    <col min="11768" max="11768" width="2.7109375" style="122" customWidth="1"/>
    <col min="11769" max="11769" width="12.7109375" style="122" bestFit="1" customWidth="1"/>
    <col min="11770" max="11770" width="2.7109375" style="122" customWidth="1"/>
    <col min="11771" max="11771" width="9.140625" style="122"/>
    <col min="11772" max="11772" width="12.5703125" style="122" bestFit="1" customWidth="1"/>
    <col min="11773" max="12021" width="9.140625" style="122"/>
    <col min="12022" max="12022" width="56.42578125" style="122" bestFit="1" customWidth="1"/>
    <col min="12023" max="12023" width="12.7109375" style="122" bestFit="1" customWidth="1"/>
    <col min="12024" max="12024" width="2.7109375" style="122" customWidth="1"/>
    <col min="12025" max="12025" width="12.7109375" style="122" bestFit="1" customWidth="1"/>
    <col min="12026" max="12026" width="2.7109375" style="122" customWidth="1"/>
    <col min="12027" max="12027" width="9.140625" style="122"/>
    <col min="12028" max="12028" width="12.5703125" style="122" bestFit="1" customWidth="1"/>
    <col min="12029" max="12277" width="9.140625" style="122"/>
    <col min="12278" max="12278" width="56.42578125" style="122" bestFit="1" customWidth="1"/>
    <col min="12279" max="12279" width="12.7109375" style="122" bestFit="1" customWidth="1"/>
    <col min="12280" max="12280" width="2.7109375" style="122" customWidth="1"/>
    <col min="12281" max="12281" width="12.7109375" style="122" bestFit="1" customWidth="1"/>
    <col min="12282" max="12282" width="2.7109375" style="122" customWidth="1"/>
    <col min="12283" max="12283" width="9.140625" style="122"/>
    <col min="12284" max="12284" width="12.5703125" style="122" bestFit="1" customWidth="1"/>
    <col min="12285" max="12533" width="9.140625" style="122"/>
    <col min="12534" max="12534" width="56.42578125" style="122" bestFit="1" customWidth="1"/>
    <col min="12535" max="12535" width="12.7109375" style="122" bestFit="1" customWidth="1"/>
    <col min="12536" max="12536" width="2.7109375" style="122" customWidth="1"/>
    <col min="12537" max="12537" width="12.7109375" style="122" bestFit="1" customWidth="1"/>
    <col min="12538" max="12538" width="2.7109375" style="122" customWidth="1"/>
    <col min="12539" max="12539" width="9.140625" style="122"/>
    <col min="12540" max="12540" width="12.5703125" style="122" bestFit="1" customWidth="1"/>
    <col min="12541" max="12789" width="9.140625" style="122"/>
    <col min="12790" max="12790" width="56.42578125" style="122" bestFit="1" customWidth="1"/>
    <col min="12791" max="12791" width="12.7109375" style="122" bestFit="1" customWidth="1"/>
    <col min="12792" max="12792" width="2.7109375" style="122" customWidth="1"/>
    <col min="12793" max="12793" width="12.7109375" style="122" bestFit="1" customWidth="1"/>
    <col min="12794" max="12794" width="2.7109375" style="122" customWidth="1"/>
    <col min="12795" max="12795" width="9.140625" style="122"/>
    <col min="12796" max="12796" width="12.5703125" style="122" bestFit="1" customWidth="1"/>
    <col min="12797" max="13045" width="9.140625" style="122"/>
    <col min="13046" max="13046" width="56.42578125" style="122" bestFit="1" customWidth="1"/>
    <col min="13047" max="13047" width="12.7109375" style="122" bestFit="1" customWidth="1"/>
    <col min="13048" max="13048" width="2.7109375" style="122" customWidth="1"/>
    <col min="13049" max="13049" width="12.7109375" style="122" bestFit="1" customWidth="1"/>
    <col min="13050" max="13050" width="2.7109375" style="122" customWidth="1"/>
    <col min="13051" max="13051" width="9.140625" style="122"/>
    <col min="13052" max="13052" width="12.5703125" style="122" bestFit="1" customWidth="1"/>
    <col min="13053" max="13301" width="9.140625" style="122"/>
    <col min="13302" max="13302" width="56.42578125" style="122" bestFit="1" customWidth="1"/>
    <col min="13303" max="13303" width="12.7109375" style="122" bestFit="1" customWidth="1"/>
    <col min="13304" max="13304" width="2.7109375" style="122" customWidth="1"/>
    <col min="13305" max="13305" width="12.7109375" style="122" bestFit="1" customWidth="1"/>
    <col min="13306" max="13306" width="2.7109375" style="122" customWidth="1"/>
    <col min="13307" max="13307" width="9.140625" style="122"/>
    <col min="13308" max="13308" width="12.5703125" style="122" bestFit="1" customWidth="1"/>
    <col min="13309" max="13557" width="9.140625" style="122"/>
    <col min="13558" max="13558" width="56.42578125" style="122" bestFit="1" customWidth="1"/>
    <col min="13559" max="13559" width="12.7109375" style="122" bestFit="1" customWidth="1"/>
    <col min="13560" max="13560" width="2.7109375" style="122" customWidth="1"/>
    <col min="13561" max="13561" width="12.7109375" style="122" bestFit="1" customWidth="1"/>
    <col min="13562" max="13562" width="2.7109375" style="122" customWidth="1"/>
    <col min="13563" max="13563" width="9.140625" style="122"/>
    <col min="13564" max="13564" width="12.5703125" style="122" bestFit="1" customWidth="1"/>
    <col min="13565" max="13813" width="9.140625" style="122"/>
    <col min="13814" max="13814" width="56.42578125" style="122" bestFit="1" customWidth="1"/>
    <col min="13815" max="13815" width="12.7109375" style="122" bestFit="1" customWidth="1"/>
    <col min="13816" max="13816" width="2.7109375" style="122" customWidth="1"/>
    <col min="13817" max="13817" width="12.7109375" style="122" bestFit="1" customWidth="1"/>
    <col min="13818" max="13818" width="2.7109375" style="122" customWidth="1"/>
    <col min="13819" max="13819" width="9.140625" style="122"/>
    <col min="13820" max="13820" width="12.5703125" style="122" bestFit="1" customWidth="1"/>
    <col min="13821" max="14069" width="9.140625" style="122"/>
    <col min="14070" max="14070" width="56.42578125" style="122" bestFit="1" customWidth="1"/>
    <col min="14071" max="14071" width="12.7109375" style="122" bestFit="1" customWidth="1"/>
    <col min="14072" max="14072" width="2.7109375" style="122" customWidth="1"/>
    <col min="14073" max="14073" width="12.7109375" style="122" bestFit="1" customWidth="1"/>
    <col min="14074" max="14074" width="2.7109375" style="122" customWidth="1"/>
    <col min="14075" max="14075" width="9.140625" style="122"/>
    <col min="14076" max="14076" width="12.5703125" style="122" bestFit="1" customWidth="1"/>
    <col min="14077" max="14325" width="9.140625" style="122"/>
    <col min="14326" max="14326" width="56.42578125" style="122" bestFit="1" customWidth="1"/>
    <col min="14327" max="14327" width="12.7109375" style="122" bestFit="1" customWidth="1"/>
    <col min="14328" max="14328" width="2.7109375" style="122" customWidth="1"/>
    <col min="14329" max="14329" width="12.7109375" style="122" bestFit="1" customWidth="1"/>
    <col min="14330" max="14330" width="2.7109375" style="122" customWidth="1"/>
    <col min="14331" max="14331" width="9.140625" style="122"/>
    <col min="14332" max="14332" width="12.5703125" style="122" bestFit="1" customWidth="1"/>
    <col min="14333" max="14581" width="9.140625" style="122"/>
    <col min="14582" max="14582" width="56.42578125" style="122" bestFit="1" customWidth="1"/>
    <col min="14583" max="14583" width="12.7109375" style="122" bestFit="1" customWidth="1"/>
    <col min="14584" max="14584" width="2.7109375" style="122" customWidth="1"/>
    <col min="14585" max="14585" width="12.7109375" style="122" bestFit="1" customWidth="1"/>
    <col min="14586" max="14586" width="2.7109375" style="122" customWidth="1"/>
    <col min="14587" max="14587" width="9.140625" style="122"/>
    <col min="14588" max="14588" width="12.5703125" style="122" bestFit="1" customWidth="1"/>
    <col min="14589" max="14837" width="9.140625" style="122"/>
    <col min="14838" max="14838" width="56.42578125" style="122" bestFit="1" customWidth="1"/>
    <col min="14839" max="14839" width="12.7109375" style="122" bestFit="1" customWidth="1"/>
    <col min="14840" max="14840" width="2.7109375" style="122" customWidth="1"/>
    <col min="14841" max="14841" width="12.7109375" style="122" bestFit="1" customWidth="1"/>
    <col min="14842" max="14842" width="2.7109375" style="122" customWidth="1"/>
    <col min="14843" max="14843" width="9.140625" style="122"/>
    <col min="14844" max="14844" width="12.5703125" style="122" bestFit="1" customWidth="1"/>
    <col min="14845" max="15093" width="9.140625" style="122"/>
    <col min="15094" max="15094" width="56.42578125" style="122" bestFit="1" customWidth="1"/>
    <col min="15095" max="15095" width="12.7109375" style="122" bestFit="1" customWidth="1"/>
    <col min="15096" max="15096" width="2.7109375" style="122" customWidth="1"/>
    <col min="15097" max="15097" width="12.7109375" style="122" bestFit="1" customWidth="1"/>
    <col min="15098" max="15098" width="2.7109375" style="122" customWidth="1"/>
    <col min="15099" max="15099" width="9.140625" style="122"/>
    <col min="15100" max="15100" width="12.5703125" style="122" bestFit="1" customWidth="1"/>
    <col min="15101" max="15349" width="9.140625" style="122"/>
    <col min="15350" max="15350" width="56.42578125" style="122" bestFit="1" customWidth="1"/>
    <col min="15351" max="15351" width="12.7109375" style="122" bestFit="1" customWidth="1"/>
    <col min="15352" max="15352" width="2.7109375" style="122" customWidth="1"/>
    <col min="15353" max="15353" width="12.7109375" style="122" bestFit="1" customWidth="1"/>
    <col min="15354" max="15354" width="2.7109375" style="122" customWidth="1"/>
    <col min="15355" max="15355" width="9.140625" style="122"/>
    <col min="15356" max="15356" width="12.5703125" style="122" bestFit="1" customWidth="1"/>
    <col min="15357" max="15605" width="9.140625" style="122"/>
    <col min="15606" max="15606" width="56.42578125" style="122" bestFit="1" customWidth="1"/>
    <col min="15607" max="15607" width="12.7109375" style="122" bestFit="1" customWidth="1"/>
    <col min="15608" max="15608" width="2.7109375" style="122" customWidth="1"/>
    <col min="15609" max="15609" width="12.7109375" style="122" bestFit="1" customWidth="1"/>
    <col min="15610" max="15610" width="2.7109375" style="122" customWidth="1"/>
    <col min="15611" max="15611" width="9.140625" style="122"/>
    <col min="15612" max="15612" width="12.5703125" style="122" bestFit="1" customWidth="1"/>
    <col min="15613" max="15861" width="9.140625" style="122"/>
    <col min="15862" max="15862" width="56.42578125" style="122" bestFit="1" customWidth="1"/>
    <col min="15863" max="15863" width="12.7109375" style="122" bestFit="1" customWidth="1"/>
    <col min="15864" max="15864" width="2.7109375" style="122" customWidth="1"/>
    <col min="15865" max="15865" width="12.7109375" style="122" bestFit="1" customWidth="1"/>
    <col min="15866" max="15866" width="2.7109375" style="122" customWidth="1"/>
    <col min="15867" max="15867" width="9.140625" style="122"/>
    <col min="15868" max="15868" width="12.5703125" style="122" bestFit="1" customWidth="1"/>
    <col min="15869" max="16117" width="9.140625" style="122"/>
    <col min="16118" max="16118" width="56.42578125" style="122" bestFit="1" customWidth="1"/>
    <col min="16119" max="16119" width="12.7109375" style="122" bestFit="1" customWidth="1"/>
    <col min="16120" max="16120" width="2.7109375" style="122" customWidth="1"/>
    <col min="16121" max="16121" width="12.7109375" style="122" bestFit="1" customWidth="1"/>
    <col min="16122" max="16122" width="2.7109375" style="122" customWidth="1"/>
    <col min="16123" max="16123" width="9.140625" style="122"/>
    <col min="16124" max="16124" width="12.5703125" style="122" bestFit="1" customWidth="1"/>
    <col min="16125" max="16384" width="9.140625" style="122"/>
  </cols>
  <sheetData>
    <row r="1" spans="1:15" ht="14.25" x14ac:dyDescent="0.2">
      <c r="A1" s="395" t="s">
        <v>0</v>
      </c>
      <c r="B1" s="395"/>
      <c r="C1" s="396"/>
    </row>
    <row r="2" spans="1:15" ht="14.25" x14ac:dyDescent="0.2">
      <c r="A2" s="395" t="s">
        <v>1</v>
      </c>
      <c r="B2" s="395"/>
      <c r="C2" s="396"/>
    </row>
    <row r="3" spans="1:15" ht="15" x14ac:dyDescent="0.25">
      <c r="A3" s="127"/>
      <c r="B3" s="127"/>
      <c r="C3" s="127"/>
      <c r="D3" s="126"/>
      <c r="H3" s="127"/>
      <c r="K3" s="127"/>
    </row>
    <row r="4" spans="1:15" ht="14.25" x14ac:dyDescent="0.2">
      <c r="A4" s="395" t="s">
        <v>2</v>
      </c>
      <c r="B4" s="395"/>
      <c r="C4" s="396"/>
    </row>
    <row r="5" spans="1:15" ht="15" x14ac:dyDescent="0.25">
      <c r="A5" s="127"/>
      <c r="B5" s="127"/>
      <c r="C5" s="127"/>
      <c r="D5" s="126"/>
      <c r="H5" s="127"/>
      <c r="K5" s="127"/>
    </row>
    <row r="6" spans="1:15" ht="15" x14ac:dyDescent="0.25">
      <c r="A6" s="390" t="s">
        <v>1797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120"/>
    </row>
    <row r="7" spans="1:15" ht="15" x14ac:dyDescent="0.25">
      <c r="A7" s="390" t="s">
        <v>1796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120"/>
    </row>
    <row r="8" spans="1:15" ht="15" x14ac:dyDescent="0.25">
      <c r="A8" s="390" t="s">
        <v>1713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120"/>
    </row>
    <row r="9" spans="1:15" ht="15" x14ac:dyDescent="0.25">
      <c r="A9" s="3"/>
      <c r="B9" s="3"/>
      <c r="C9" s="3"/>
      <c r="D9" s="3"/>
      <c r="H9" s="3"/>
      <c r="K9" s="3"/>
    </row>
    <row r="10" spans="1:15" ht="15" x14ac:dyDescent="0.25">
      <c r="A10" s="3"/>
      <c r="B10" s="3"/>
      <c r="C10" s="3"/>
      <c r="D10" s="3"/>
      <c r="H10" s="3"/>
      <c r="K10" s="3"/>
    </row>
    <row r="11" spans="1:15" ht="15" x14ac:dyDescent="0.25">
      <c r="A11" s="3"/>
      <c r="B11" s="3"/>
      <c r="C11" s="4" t="s">
        <v>4</v>
      </c>
      <c r="D11" s="4"/>
      <c r="E11" s="105" t="s">
        <v>4</v>
      </c>
      <c r="F11" s="106"/>
      <c r="G11" s="106"/>
      <c r="H11" s="105" t="s">
        <v>4</v>
      </c>
      <c r="I11" s="106"/>
      <c r="J11" s="106"/>
      <c r="K11" s="105" t="s">
        <v>4</v>
      </c>
      <c r="L11" s="106"/>
      <c r="M11" s="106"/>
      <c r="N11" s="105" t="s">
        <v>4</v>
      </c>
    </row>
    <row r="12" spans="1:15" ht="15" x14ac:dyDescent="0.25">
      <c r="A12" s="126"/>
      <c r="B12" s="126"/>
      <c r="C12" s="5">
        <v>43466</v>
      </c>
      <c r="D12" s="5"/>
      <c r="E12" s="107">
        <v>43922</v>
      </c>
      <c r="F12" s="106"/>
      <c r="G12" s="106"/>
      <c r="H12" s="107">
        <v>43831</v>
      </c>
      <c r="I12" s="106"/>
      <c r="J12" s="106"/>
      <c r="K12" s="107">
        <v>43556</v>
      </c>
      <c r="L12" s="106"/>
      <c r="M12" s="106"/>
      <c r="N12" s="107">
        <v>43466</v>
      </c>
    </row>
    <row r="13" spans="1:15" ht="15" x14ac:dyDescent="0.25">
      <c r="A13" s="126"/>
      <c r="B13" s="126"/>
      <c r="C13" s="4" t="s">
        <v>5</v>
      </c>
      <c r="D13" s="4"/>
      <c r="E13" s="105" t="s">
        <v>5</v>
      </c>
      <c r="F13" s="106"/>
      <c r="G13" s="106"/>
      <c r="H13" s="105" t="s">
        <v>5</v>
      </c>
      <c r="I13" s="106"/>
      <c r="J13" s="106"/>
      <c r="K13" s="105" t="s">
        <v>5</v>
      </c>
      <c r="L13" s="106"/>
      <c r="M13" s="106"/>
      <c r="N13" s="105" t="s">
        <v>5</v>
      </c>
    </row>
    <row r="14" spans="1:15" ht="15" x14ac:dyDescent="0.25">
      <c r="A14" s="126"/>
      <c r="B14" s="126"/>
      <c r="C14" s="6">
        <v>43555</v>
      </c>
      <c r="D14" s="6"/>
      <c r="E14" s="108">
        <v>44012</v>
      </c>
      <c r="F14" s="106"/>
      <c r="G14" s="106"/>
      <c r="H14" s="108">
        <v>44012</v>
      </c>
      <c r="I14" s="106"/>
      <c r="J14" s="106"/>
      <c r="K14" s="108">
        <v>43646</v>
      </c>
      <c r="L14" s="106"/>
      <c r="M14" s="106"/>
      <c r="N14" s="108">
        <v>43646</v>
      </c>
    </row>
    <row r="15" spans="1:15" ht="15" x14ac:dyDescent="0.25">
      <c r="A15" s="126"/>
      <c r="B15" s="126"/>
      <c r="C15" s="126"/>
      <c r="D15" s="126"/>
      <c r="E15" s="109"/>
      <c r="F15" s="106"/>
      <c r="G15" s="106"/>
      <c r="H15" s="109"/>
      <c r="I15" s="106"/>
      <c r="J15" s="106"/>
      <c r="K15" s="109"/>
      <c r="L15" s="106"/>
      <c r="M15" s="106"/>
      <c r="N15" s="109"/>
    </row>
    <row r="16" spans="1:15" ht="15" x14ac:dyDescent="0.25">
      <c r="A16" s="7" t="s">
        <v>6</v>
      </c>
      <c r="B16" s="7"/>
      <c r="C16" s="8">
        <f>C18+C20+C29+C39+C46</f>
        <v>-1269.5785100000103</v>
      </c>
      <c r="D16" s="8"/>
      <c r="E16" s="8">
        <f>E18+E20+E29+E39+E46</f>
        <v>47182.125310000003</v>
      </c>
      <c r="H16" s="8">
        <f>H18+H20+H29+H39+H46</f>
        <v>50272.774669999999</v>
      </c>
      <c r="K16" s="8">
        <f>K18+K20+K29+K39+K46</f>
        <v>-4353.8187800000069</v>
      </c>
      <c r="N16" s="8">
        <f>N18+N20+N29+N39+N46</f>
        <v>-5623.3972900000035</v>
      </c>
    </row>
    <row r="17" spans="1:16" ht="15" x14ac:dyDescent="0.25">
      <c r="A17" s="3"/>
      <c r="B17" s="3"/>
      <c r="C17" s="3"/>
      <c r="D17" s="3"/>
      <c r="E17" s="3"/>
      <c r="H17" s="3"/>
      <c r="K17" s="3"/>
      <c r="N17" s="3"/>
    </row>
    <row r="18" spans="1:16" ht="15" x14ac:dyDescent="0.25">
      <c r="A18" s="3" t="s">
        <v>7</v>
      </c>
      <c r="B18" s="3"/>
      <c r="C18" s="10">
        <v>-4991.6477400000003</v>
      </c>
      <c r="D18" s="11"/>
      <c r="E18" s="10">
        <v>-5060.5836399999998</v>
      </c>
      <c r="H18" s="10">
        <v>-5991.5134699999999</v>
      </c>
      <c r="K18" s="10">
        <v>-11303.510990000001</v>
      </c>
      <c r="N18" s="10">
        <v>-16295.158730000001</v>
      </c>
      <c r="P18" s="122">
        <v>1543</v>
      </c>
    </row>
    <row r="19" spans="1:16" ht="15" x14ac:dyDescent="0.25">
      <c r="A19" s="3"/>
      <c r="B19" s="3"/>
      <c r="C19" s="3"/>
      <c r="D19" s="3"/>
      <c r="E19" s="3"/>
      <c r="H19" s="3"/>
      <c r="K19" s="3"/>
      <c r="N19" s="3"/>
    </row>
    <row r="20" spans="1:16" ht="15" x14ac:dyDescent="0.25">
      <c r="A20" s="3" t="s">
        <v>8</v>
      </c>
      <c r="B20" s="3"/>
      <c r="C20" s="8">
        <f>SUM(C21:C26)</f>
        <v>3606.5750700000003</v>
      </c>
      <c r="D20" s="8"/>
      <c r="E20" s="8">
        <f>SUM(E21:E26)</f>
        <v>3777.3473199999999</v>
      </c>
      <c r="H20" s="8">
        <f>SUM(H21:H26)</f>
        <v>7654.2557500000003</v>
      </c>
      <c r="K20" s="8">
        <f>SUM(K21:K26)</f>
        <v>6465.81358</v>
      </c>
      <c r="N20" s="8">
        <f>SUM(N21:N26)</f>
        <v>10072.388650000001</v>
      </c>
    </row>
    <row r="21" spans="1:16" ht="15" x14ac:dyDescent="0.25">
      <c r="A21" s="3" t="s">
        <v>9</v>
      </c>
      <c r="B21" s="3"/>
      <c r="C21" s="10">
        <v>3794.0384800000002</v>
      </c>
      <c r="D21" s="11"/>
      <c r="E21" s="11">
        <v>3980.67562</v>
      </c>
      <c r="H21" s="11">
        <v>7997.3791200000005</v>
      </c>
      <c r="K21" s="11">
        <v>3922.5368899999999</v>
      </c>
      <c r="N21" s="11">
        <v>7716.5753699999996</v>
      </c>
    </row>
    <row r="22" spans="1:16" ht="15" x14ac:dyDescent="0.25">
      <c r="A22" s="3" t="s">
        <v>10</v>
      </c>
      <c r="B22" s="3"/>
      <c r="C22" s="10">
        <v>-187.46341000000001</v>
      </c>
      <c r="D22" s="12"/>
      <c r="E22" s="10">
        <v>-222.01273999999998</v>
      </c>
      <c r="F22" s="9"/>
      <c r="G22" s="9"/>
      <c r="H22" s="10">
        <v>-445.27835999999996</v>
      </c>
      <c r="K22" s="10">
        <v>-197.77529000000001</v>
      </c>
      <c r="N22" s="10">
        <v>-385.23869999999999</v>
      </c>
    </row>
    <row r="23" spans="1:16" ht="15" x14ac:dyDescent="0.25">
      <c r="A23" s="13" t="s">
        <v>11</v>
      </c>
      <c r="B23" s="13"/>
      <c r="C23" s="10">
        <v>0</v>
      </c>
      <c r="D23" s="12"/>
      <c r="E23" s="18">
        <v>18.684439999999999</v>
      </c>
      <c r="H23" s="10">
        <v>102.15499000000001</v>
      </c>
      <c r="K23" s="10">
        <v>0</v>
      </c>
      <c r="N23" s="10">
        <v>0</v>
      </c>
    </row>
    <row r="24" spans="1:16" ht="15" hidden="1" x14ac:dyDescent="0.25">
      <c r="A24" s="3" t="s">
        <v>12</v>
      </c>
      <c r="B24" s="3"/>
      <c r="C24" s="10"/>
      <c r="D24" s="11"/>
      <c r="E24" s="11"/>
      <c r="H24" s="11"/>
      <c r="K24" s="11">
        <v>0</v>
      </c>
      <c r="N24" s="11">
        <v>0</v>
      </c>
    </row>
    <row r="25" spans="1:16" ht="15" hidden="1" x14ac:dyDescent="0.25">
      <c r="A25" s="13" t="s">
        <v>13</v>
      </c>
      <c r="B25" s="13"/>
      <c r="C25" s="10"/>
      <c r="D25" s="12"/>
      <c r="E25" s="12"/>
      <c r="H25" s="12"/>
      <c r="K25" s="12">
        <v>0</v>
      </c>
      <c r="N25" s="12">
        <v>0</v>
      </c>
    </row>
    <row r="26" spans="1:16" ht="15" x14ac:dyDescent="0.25">
      <c r="A26" s="13" t="s">
        <v>14</v>
      </c>
      <c r="B26" s="13"/>
      <c r="C26" s="10"/>
      <c r="D26" s="11"/>
      <c r="E26" s="11" t="s">
        <v>45</v>
      </c>
      <c r="H26" s="11" t="s">
        <v>45</v>
      </c>
      <c r="K26" s="11">
        <v>2741.0519800000002</v>
      </c>
      <c r="N26" s="11">
        <v>2741.0519800000002</v>
      </c>
    </row>
    <row r="27" spans="1:16" ht="15" x14ac:dyDescent="0.25">
      <c r="A27" s="3"/>
      <c r="B27" s="3"/>
      <c r="C27" s="3"/>
      <c r="D27" s="3"/>
      <c r="E27" s="3"/>
      <c r="H27" s="3"/>
      <c r="K27" s="3"/>
      <c r="N27" s="3"/>
    </row>
    <row r="28" spans="1:16" ht="15" x14ac:dyDescent="0.25">
      <c r="A28" s="3"/>
      <c r="B28" s="3"/>
      <c r="C28" s="3"/>
      <c r="D28" s="3"/>
      <c r="E28" s="3"/>
      <c r="H28" s="3"/>
      <c r="K28" s="3"/>
      <c r="N28" s="3"/>
    </row>
    <row r="29" spans="1:16" ht="15" x14ac:dyDescent="0.25">
      <c r="A29" s="3" t="s">
        <v>15</v>
      </c>
      <c r="B29" s="3"/>
      <c r="C29" s="15">
        <f>SUM(C30:C37)</f>
        <v>914.52315999999018</v>
      </c>
      <c r="D29" s="16"/>
      <c r="E29" s="15">
        <f>SUM(E30:E37)</f>
        <v>534.11199000000022</v>
      </c>
      <c r="H29" s="15">
        <f>SUM(H30:H37)</f>
        <v>-772.90888000000007</v>
      </c>
      <c r="K29" s="15">
        <f>SUM(K30:K37)</f>
        <v>-366.84580000000005</v>
      </c>
      <c r="N29" s="15">
        <f>SUM(N30:N37)</f>
        <v>547.67735999999957</v>
      </c>
    </row>
    <row r="30" spans="1:16" ht="15" x14ac:dyDescent="0.25">
      <c r="A30" s="3" t="s">
        <v>16</v>
      </c>
      <c r="B30" s="3"/>
      <c r="C30" s="10">
        <v>1202.5902099999898</v>
      </c>
      <c r="D30" s="10"/>
      <c r="E30" s="10">
        <v>671.37962000000016</v>
      </c>
      <c r="H30" s="10">
        <v>92.080250000000007</v>
      </c>
      <c r="K30" s="10">
        <v>22.385159999999683</v>
      </c>
      <c r="N30" s="10">
        <v>1224.9753699999997</v>
      </c>
    </row>
    <row r="31" spans="1:16" ht="15" x14ac:dyDescent="0.25">
      <c r="A31" s="3" t="s">
        <v>17</v>
      </c>
      <c r="B31" s="3"/>
      <c r="C31" s="10">
        <v>10.448360000000008</v>
      </c>
      <c r="D31" s="10"/>
      <c r="E31" s="10">
        <v>57.11356</v>
      </c>
      <c r="H31" s="10">
        <v>59.376440000000002</v>
      </c>
      <c r="K31" s="10">
        <v>19.853819999999999</v>
      </c>
      <c r="N31" s="10">
        <v>30.30218</v>
      </c>
    </row>
    <row r="32" spans="1:16" ht="15" x14ac:dyDescent="0.25">
      <c r="A32" s="3" t="s">
        <v>18</v>
      </c>
      <c r="B32" s="3"/>
      <c r="C32" s="10">
        <v>-101.26374999999996</v>
      </c>
      <c r="D32" s="10"/>
      <c r="E32" s="10">
        <v>149.46552000000003</v>
      </c>
      <c r="H32" s="10">
        <v>-397.71604000000002</v>
      </c>
      <c r="K32" s="10">
        <v>111.45451000000001</v>
      </c>
      <c r="N32" s="10">
        <v>10.19076000000001</v>
      </c>
    </row>
    <row r="33" spans="1:14" ht="15" x14ac:dyDescent="0.25">
      <c r="A33" s="3" t="s">
        <v>19</v>
      </c>
      <c r="B33" s="3"/>
      <c r="C33" s="10">
        <v>0</v>
      </c>
      <c r="D33" s="10"/>
      <c r="E33" s="10">
        <v>0</v>
      </c>
      <c r="H33" s="10">
        <v>-36.236239999999988</v>
      </c>
      <c r="K33" s="10">
        <v>-315.74048999999997</v>
      </c>
      <c r="N33" s="10">
        <v>-315.74048999999997</v>
      </c>
    </row>
    <row r="34" spans="1:14" ht="15" x14ac:dyDescent="0.25">
      <c r="A34" s="3" t="s">
        <v>20</v>
      </c>
      <c r="B34" s="3"/>
      <c r="C34" s="10">
        <v>-278.10560999999984</v>
      </c>
      <c r="D34" s="10"/>
      <c r="E34" s="10">
        <v>-262.66769999999997</v>
      </c>
      <c r="H34" s="10">
        <v>-491.40027000000003</v>
      </c>
      <c r="I34" s="14"/>
      <c r="K34" s="10">
        <v>-228.52257999999983</v>
      </c>
      <c r="N34" s="10">
        <v>-506.62818999999996</v>
      </c>
    </row>
    <row r="35" spans="1:14" ht="15" x14ac:dyDescent="0.25">
      <c r="A35" s="3" t="s">
        <v>21</v>
      </c>
      <c r="B35" s="3"/>
      <c r="C35" s="10">
        <v>23.639269999999996</v>
      </c>
      <c r="D35" s="10"/>
      <c r="E35" s="10">
        <v>-6.8012499999999996</v>
      </c>
      <c r="H35" s="10">
        <v>1.2404500000000043</v>
      </c>
      <c r="K35" s="10">
        <v>11.004679999999993</v>
      </c>
      <c r="N35" s="10">
        <v>34.643949999999997</v>
      </c>
    </row>
    <row r="36" spans="1:14" ht="15" x14ac:dyDescent="0.25">
      <c r="A36" s="3" t="s">
        <v>22</v>
      </c>
      <c r="B36" s="3"/>
      <c r="C36" s="10">
        <v>72.657209999999992</v>
      </c>
      <c r="D36" s="10"/>
      <c r="E36" s="10">
        <v>-74.377760000000009</v>
      </c>
      <c r="H36" s="10">
        <v>-0.25347000000000114</v>
      </c>
      <c r="K36" s="10">
        <v>60.467600000000004</v>
      </c>
      <c r="N36" s="10">
        <v>133.12481</v>
      </c>
    </row>
    <row r="37" spans="1:14" ht="15" x14ac:dyDescent="0.25">
      <c r="A37" s="3" t="s">
        <v>23</v>
      </c>
      <c r="B37" s="3"/>
      <c r="C37" s="10">
        <f>-(-386.33985+401.78238)</f>
        <v>-15.442529999999977</v>
      </c>
      <c r="D37" s="10"/>
      <c r="E37" s="10">
        <v>0</v>
      </c>
      <c r="H37" s="10">
        <v>0</v>
      </c>
      <c r="K37" s="10">
        <v>-47.7485</v>
      </c>
      <c r="N37" s="10">
        <v>-63.191030000000026</v>
      </c>
    </row>
    <row r="38" spans="1:14" ht="15" x14ac:dyDescent="0.25">
      <c r="A38" s="3"/>
      <c r="B38" s="3"/>
      <c r="C38" s="3"/>
      <c r="D38" s="3"/>
      <c r="E38" s="3"/>
      <c r="H38" s="3"/>
      <c r="K38" s="3"/>
      <c r="N38" s="3"/>
    </row>
    <row r="39" spans="1:14" ht="15" x14ac:dyDescent="0.25">
      <c r="A39" s="3" t="s">
        <v>24</v>
      </c>
      <c r="B39" s="3"/>
      <c r="C39" s="8">
        <f>SUM(C40:C43)</f>
        <v>617.60626999999999</v>
      </c>
      <c r="D39" s="8"/>
      <c r="E39" s="8">
        <f>SUM(E40:E44)</f>
        <v>43965.147400000002</v>
      </c>
      <c r="H39" s="8">
        <f>SUM(H40:H44)</f>
        <v>44357.122309999999</v>
      </c>
      <c r="K39" s="8">
        <f>SUM(K40:K44)</f>
        <v>844.60402999999519</v>
      </c>
      <c r="N39" s="8">
        <f>SUM(N40:N44)</f>
        <v>1462.2102999999979</v>
      </c>
    </row>
    <row r="40" spans="1:14" ht="15" x14ac:dyDescent="0.25">
      <c r="A40" s="3" t="s">
        <v>25</v>
      </c>
      <c r="B40" s="3"/>
      <c r="C40" s="10">
        <v>-44.324160000000006</v>
      </c>
      <c r="D40" s="10"/>
      <c r="E40" s="10">
        <v>-23.428249999999998</v>
      </c>
      <c r="H40" s="10">
        <v>-50.383859999999984</v>
      </c>
      <c r="K40" s="10">
        <v>186.33801</v>
      </c>
      <c r="N40" s="10">
        <v>142.0138500000001</v>
      </c>
    </row>
    <row r="41" spans="1:14" ht="15" x14ac:dyDescent="0.25">
      <c r="A41" s="3" t="s">
        <v>26</v>
      </c>
      <c r="B41" s="3"/>
      <c r="C41" s="10">
        <v>2.9150200000000126</v>
      </c>
      <c r="D41" s="10"/>
      <c r="E41" s="10">
        <v>0</v>
      </c>
      <c r="H41" s="10">
        <v>0</v>
      </c>
      <c r="K41" s="10">
        <v>1.943679999999993</v>
      </c>
      <c r="N41" s="10">
        <v>4.8586999999999971</v>
      </c>
    </row>
    <row r="42" spans="1:14" ht="15" x14ac:dyDescent="0.25">
      <c r="A42" s="3" t="s">
        <v>27</v>
      </c>
      <c r="B42" s="3"/>
      <c r="C42" s="10">
        <v>-112.34821999999986</v>
      </c>
      <c r="D42" s="10"/>
      <c r="E42" s="10">
        <v>-465.50741999999991</v>
      </c>
      <c r="H42" s="10">
        <v>-586.03109000000029</v>
      </c>
      <c r="K42" s="10">
        <v>-114.17679000000004</v>
      </c>
      <c r="N42" s="10">
        <v>-226.52501000000024</v>
      </c>
    </row>
    <row r="43" spans="1:14" ht="15" x14ac:dyDescent="0.25">
      <c r="A43" s="3" t="s">
        <v>28</v>
      </c>
      <c r="B43" s="3"/>
      <c r="C43" s="10">
        <v>771.36362999999983</v>
      </c>
      <c r="D43" s="10"/>
      <c r="E43" s="10">
        <v>397.64977000000329</v>
      </c>
      <c r="H43" s="10">
        <v>937.10396000000094</v>
      </c>
      <c r="K43" s="10">
        <v>770.49912999999526</v>
      </c>
      <c r="N43" s="10">
        <v>1541.8627599999979</v>
      </c>
    </row>
    <row r="44" spans="1:14" ht="15" x14ac:dyDescent="0.25">
      <c r="A44" s="3" t="s">
        <v>1436</v>
      </c>
      <c r="B44" s="3"/>
      <c r="C44" s="10"/>
      <c r="D44" s="10"/>
      <c r="E44" s="10">
        <v>44056.433299999997</v>
      </c>
      <c r="H44" s="10">
        <v>44056.433299999997</v>
      </c>
      <c r="K44" s="10">
        <v>0</v>
      </c>
      <c r="N44" s="10">
        <v>0</v>
      </c>
    </row>
    <row r="45" spans="1:14" ht="15" x14ac:dyDescent="0.25">
      <c r="A45" s="3"/>
      <c r="B45" s="3"/>
      <c r="C45" s="3"/>
      <c r="D45" s="3"/>
      <c r="E45" s="3"/>
      <c r="H45" s="3"/>
      <c r="K45" s="3"/>
      <c r="N45" s="3"/>
    </row>
    <row r="46" spans="1:14" ht="15" x14ac:dyDescent="0.25">
      <c r="A46" s="3" t="s">
        <v>29</v>
      </c>
      <c r="B46" s="3"/>
      <c r="C46" s="8">
        <f>SUM(C47:C55)</f>
        <v>-1416.6352700000004</v>
      </c>
      <c r="D46" s="8"/>
      <c r="E46" s="8">
        <f>SUM(E47:E55)</f>
        <v>3966.1022400000015</v>
      </c>
      <c r="H46" s="8">
        <f>SUM(H47:H55)</f>
        <v>5025.8189599999996</v>
      </c>
      <c r="K46" s="8">
        <f>SUM(K47:K55)</f>
        <v>6.1203999999991368</v>
      </c>
      <c r="N46" s="8">
        <f>SUM(N47:N55)</f>
        <v>-1410.5148700000009</v>
      </c>
    </row>
    <row r="47" spans="1:14" ht="15" x14ac:dyDescent="0.25">
      <c r="A47" s="3" t="s">
        <v>30</v>
      </c>
      <c r="B47" s="3"/>
      <c r="C47" s="10">
        <v>-743.44182000000001</v>
      </c>
      <c r="D47" s="10"/>
      <c r="E47" s="10">
        <v>-302.88602999999989</v>
      </c>
      <c r="F47" s="14"/>
      <c r="G47" s="14"/>
      <c r="H47" s="10">
        <v>224.52805000000004</v>
      </c>
      <c r="K47" s="10">
        <v>-280.69520000000017</v>
      </c>
      <c r="N47" s="10">
        <v>-1024.1370200000001</v>
      </c>
    </row>
    <row r="48" spans="1:14" ht="15" x14ac:dyDescent="0.25">
      <c r="A48" s="3" t="s">
        <v>31</v>
      </c>
      <c r="B48" s="3"/>
      <c r="C48" s="10">
        <v>691.1069100000002</v>
      </c>
      <c r="D48" s="10"/>
      <c r="E48" s="10">
        <v>-347.70554000000004</v>
      </c>
      <c r="F48" s="14"/>
      <c r="G48" s="14"/>
      <c r="H48" s="10">
        <v>368.29166000000015</v>
      </c>
      <c r="K48" s="10">
        <v>49.759739999999759</v>
      </c>
      <c r="N48" s="10">
        <v>740.86664999999971</v>
      </c>
    </row>
    <row r="49" spans="1:14" ht="15" x14ac:dyDescent="0.25">
      <c r="A49" s="3" t="s">
        <v>32</v>
      </c>
      <c r="B49" s="3"/>
      <c r="C49" s="10">
        <v>-749.25295000000051</v>
      </c>
      <c r="D49" s="10"/>
      <c r="E49" s="10">
        <v>-48.235399999999444</v>
      </c>
      <c r="H49" s="10">
        <v>-148.00129999999982</v>
      </c>
      <c r="K49" s="10">
        <v>-82.203740000000224</v>
      </c>
      <c r="N49" s="10">
        <v>-831.45669000000044</v>
      </c>
    </row>
    <row r="50" spans="1:14" ht="15" x14ac:dyDescent="0.25">
      <c r="A50" s="3" t="s">
        <v>33</v>
      </c>
      <c r="B50" s="3"/>
      <c r="C50" s="17">
        <v>-161.4070899999997</v>
      </c>
      <c r="D50" s="10"/>
      <c r="E50" s="10">
        <v>4542.8913700000003</v>
      </c>
      <c r="H50" s="10">
        <v>4585.4574299999995</v>
      </c>
      <c r="K50" s="10">
        <v>-117.08945000000018</v>
      </c>
      <c r="N50" s="10">
        <v>-278.49654000000004</v>
      </c>
    </row>
    <row r="51" spans="1:14" ht="15" x14ac:dyDescent="0.25">
      <c r="A51" s="3" t="s">
        <v>34</v>
      </c>
      <c r="B51" s="3"/>
      <c r="C51" s="10">
        <v>-221.61881000000005</v>
      </c>
      <c r="D51" s="10"/>
      <c r="E51" s="10">
        <v>-29.044010000000011</v>
      </c>
      <c r="H51" s="10">
        <v>-173.77057000000002</v>
      </c>
      <c r="K51" s="10">
        <v>28.447619999999997</v>
      </c>
      <c r="N51" s="10">
        <v>-193.17119</v>
      </c>
    </row>
    <row r="52" spans="1:14" ht="15" x14ac:dyDescent="0.25">
      <c r="A52" s="3" t="s">
        <v>35</v>
      </c>
      <c r="B52" s="3"/>
      <c r="C52" s="10">
        <v>217.9684599999996</v>
      </c>
      <c r="D52" s="10"/>
      <c r="E52" s="10">
        <v>143.40989000000013</v>
      </c>
      <c r="H52" s="10">
        <v>311.6311399999999</v>
      </c>
      <c r="K52" s="10">
        <v>557.89126999999996</v>
      </c>
      <c r="N52" s="10">
        <v>775.85973000000001</v>
      </c>
    </row>
    <row r="53" spans="1:14" ht="15" hidden="1" x14ac:dyDescent="0.25">
      <c r="A53" s="3" t="s">
        <v>36</v>
      </c>
      <c r="B53" s="3"/>
      <c r="C53" s="10">
        <v>0</v>
      </c>
      <c r="D53" s="10"/>
      <c r="E53" s="10">
        <v>0</v>
      </c>
      <c r="H53" s="10">
        <v>0</v>
      </c>
      <c r="K53" s="10">
        <v>0</v>
      </c>
      <c r="N53" s="10">
        <v>0</v>
      </c>
    </row>
    <row r="54" spans="1:14" ht="15" x14ac:dyDescent="0.25">
      <c r="A54" s="3" t="s">
        <v>37</v>
      </c>
      <c r="B54" s="3"/>
      <c r="C54" s="10">
        <v>1.0030000000000427E-2</v>
      </c>
      <c r="D54" s="10"/>
      <c r="E54" s="10">
        <v>1.0740000000005238E-2</v>
      </c>
      <c r="H54" s="10">
        <v>2.1330000000001747E-2</v>
      </c>
      <c r="K54" s="10">
        <v>1.0160000000003493E-2</v>
      </c>
      <c r="N54" s="10">
        <v>2.0190000000002328E-2</v>
      </c>
    </row>
    <row r="55" spans="1:14" ht="15" x14ac:dyDescent="0.25">
      <c r="A55" s="3" t="s">
        <v>38</v>
      </c>
      <c r="B55" s="3"/>
      <c r="C55" s="10">
        <v>-449.99999999999989</v>
      </c>
      <c r="D55" s="12"/>
      <c r="E55" s="10">
        <v>7.6612199999999717</v>
      </c>
      <c r="H55" s="10">
        <v>-142.33878000000001</v>
      </c>
      <c r="K55" s="10">
        <v>-150</v>
      </c>
      <c r="N55" s="10">
        <v>-600</v>
      </c>
    </row>
    <row r="56" spans="1:14" ht="15" x14ac:dyDescent="0.25">
      <c r="A56" s="3"/>
      <c r="B56" s="3"/>
      <c r="C56" s="3"/>
      <c r="D56" s="3"/>
      <c r="E56" s="3"/>
      <c r="H56" s="3"/>
      <c r="K56" s="3"/>
      <c r="N56" s="3"/>
    </row>
    <row r="57" spans="1:14" ht="15" x14ac:dyDescent="0.25">
      <c r="A57" s="7" t="s">
        <v>39</v>
      </c>
      <c r="B57" s="7"/>
      <c r="C57" s="8">
        <f>SUM(C59:C65)</f>
        <v>-549.21375999999998</v>
      </c>
      <c r="D57" s="8"/>
      <c r="E57" s="8">
        <f>SUM(E59:E65)</f>
        <v>-230.625</v>
      </c>
      <c r="H57" s="8">
        <f>SUM(H59:H65)</f>
        <v>-230.625</v>
      </c>
      <c r="K57" s="8">
        <f>SUM(K59:K65)</f>
        <v>4455.2591400000001</v>
      </c>
      <c r="N57" s="8">
        <f>SUM(N59:N65)</f>
        <v>3906.0453800000005</v>
      </c>
    </row>
    <row r="58" spans="1:14" ht="15" x14ac:dyDescent="0.25">
      <c r="A58" s="3"/>
      <c r="B58" s="3"/>
      <c r="C58" s="3"/>
      <c r="D58" s="3"/>
      <c r="E58" s="3"/>
      <c r="H58" s="3"/>
      <c r="K58" s="3"/>
      <c r="N58" s="3"/>
    </row>
    <row r="59" spans="1:14" ht="15" hidden="1" x14ac:dyDescent="0.25">
      <c r="A59" s="3" t="s">
        <v>40</v>
      </c>
      <c r="B59" s="3"/>
      <c r="C59" s="3"/>
      <c r="D59" s="3"/>
      <c r="E59" s="3"/>
      <c r="H59" s="3"/>
      <c r="K59" s="3"/>
      <c r="N59" s="3"/>
    </row>
    <row r="60" spans="1:14" ht="15" x14ac:dyDescent="0.25">
      <c r="A60" s="3" t="s">
        <v>41</v>
      </c>
      <c r="B60" s="3"/>
      <c r="C60" s="10">
        <v>-549.21375999999998</v>
      </c>
      <c r="D60" s="10"/>
      <c r="E60" s="10">
        <v>-1.29</v>
      </c>
      <c r="H60" s="10">
        <v>-1.29</v>
      </c>
      <c r="K60" s="10">
        <v>-94.974399999999989</v>
      </c>
      <c r="N60" s="10">
        <v>-644.18815999999993</v>
      </c>
    </row>
    <row r="61" spans="1:14" ht="15" hidden="1" x14ac:dyDescent="0.25">
      <c r="A61" s="3" t="s">
        <v>42</v>
      </c>
      <c r="B61" s="3"/>
      <c r="D61" s="10"/>
      <c r="E61" s="10">
        <v>0</v>
      </c>
      <c r="H61" s="10">
        <v>0</v>
      </c>
      <c r="K61" s="10">
        <v>0</v>
      </c>
      <c r="N61" s="10">
        <v>0</v>
      </c>
    </row>
    <row r="62" spans="1:14" ht="15" x14ac:dyDescent="0.25">
      <c r="A62" s="3" t="s">
        <v>1592</v>
      </c>
      <c r="B62" s="3"/>
      <c r="C62" s="11"/>
      <c r="D62" s="11"/>
      <c r="E62" s="10">
        <v>0</v>
      </c>
      <c r="F62" s="10"/>
      <c r="G62" s="10"/>
      <c r="H62" s="10">
        <v>0</v>
      </c>
      <c r="K62" s="11">
        <v>4550.2335400000002</v>
      </c>
      <c r="L62" s="14"/>
      <c r="N62" s="11">
        <v>4550.2335400000002</v>
      </c>
    </row>
    <row r="63" spans="1:14" ht="15" hidden="1" x14ac:dyDescent="0.25">
      <c r="A63" s="3"/>
      <c r="B63" s="3"/>
      <c r="C63" s="11"/>
      <c r="D63" s="11"/>
      <c r="E63" s="11">
        <v>0</v>
      </c>
      <c r="H63" s="11">
        <v>0</v>
      </c>
      <c r="K63" s="11"/>
      <c r="N63" s="11"/>
    </row>
    <row r="64" spans="1:14" ht="15" x14ac:dyDescent="0.25">
      <c r="A64" s="3" t="s">
        <v>43</v>
      </c>
      <c r="B64" s="3"/>
      <c r="C64" s="10"/>
      <c r="D64" s="10"/>
      <c r="E64" s="10">
        <v>-229.33500000000001</v>
      </c>
      <c r="H64" s="10">
        <v>-229.33500000000001</v>
      </c>
      <c r="K64" s="10">
        <v>0</v>
      </c>
      <c r="N64" s="10">
        <v>0</v>
      </c>
    </row>
    <row r="65" spans="1:14" ht="15" x14ac:dyDescent="0.25">
      <c r="A65" s="3" t="s">
        <v>44</v>
      </c>
      <c r="B65" s="3"/>
      <c r="C65" s="12" t="s">
        <v>45</v>
      </c>
      <c r="D65" s="12"/>
      <c r="E65" s="12"/>
      <c r="H65" s="12"/>
      <c r="K65" s="12"/>
      <c r="N65" s="12"/>
    </row>
    <row r="66" spans="1:14" ht="15" x14ac:dyDescent="0.25">
      <c r="A66" s="3"/>
      <c r="B66" s="3"/>
      <c r="C66" s="3"/>
      <c r="D66" s="3"/>
      <c r="E66" s="3"/>
      <c r="H66" s="3"/>
      <c r="K66" s="3"/>
      <c r="N66" s="3"/>
    </row>
    <row r="67" spans="1:14" ht="15" x14ac:dyDescent="0.25">
      <c r="A67" s="7" t="s">
        <v>46</v>
      </c>
      <c r="B67" s="7"/>
      <c r="C67" s="8">
        <f>SUM(C69:C70)</f>
        <v>21.205469999999998</v>
      </c>
      <c r="D67" s="8"/>
      <c r="E67" s="8">
        <f>SUM(E69:E74)</f>
        <v>-45036.539279999997</v>
      </c>
      <c r="H67" s="8">
        <f>SUM(H69:H74)</f>
        <v>-45021.709210000001</v>
      </c>
      <c r="K67" s="8">
        <f>SUM(K69:K74)</f>
        <v>21.531590000000083</v>
      </c>
      <c r="N67" s="8">
        <f>SUM(N69:N74)</f>
        <v>42.737060000000056</v>
      </c>
    </row>
    <row r="68" spans="1:14" ht="15" x14ac:dyDescent="0.25">
      <c r="A68" s="3"/>
      <c r="B68" s="3"/>
      <c r="C68" s="3"/>
      <c r="D68" s="3"/>
      <c r="E68" s="3"/>
      <c r="H68" s="3"/>
      <c r="K68" s="3"/>
      <c r="N68" s="3"/>
    </row>
    <row r="69" spans="1:14" ht="15" x14ac:dyDescent="0.25">
      <c r="A69" s="3" t="s">
        <v>47</v>
      </c>
      <c r="B69" s="3"/>
      <c r="C69" s="12" t="s">
        <v>45</v>
      </c>
      <c r="D69" s="12"/>
      <c r="E69" s="12"/>
      <c r="H69" s="12" t="s">
        <v>45</v>
      </c>
      <c r="K69" s="12" t="s">
        <v>45</v>
      </c>
      <c r="N69" s="12" t="s">
        <v>45</v>
      </c>
    </row>
    <row r="70" spans="1:14" ht="15" x14ac:dyDescent="0.25">
      <c r="A70" s="3" t="s">
        <v>48</v>
      </c>
      <c r="B70" s="3"/>
      <c r="C70" s="18">
        <v>21.205469999999998</v>
      </c>
      <c r="D70" s="18"/>
      <c r="E70" s="18">
        <v>10.931719999999972</v>
      </c>
      <c r="H70" s="18">
        <v>25.761789999999806</v>
      </c>
      <c r="K70" s="18">
        <v>21.531590000000083</v>
      </c>
      <c r="N70" s="18">
        <v>42.737060000000056</v>
      </c>
    </row>
    <row r="71" spans="1:14" ht="15" x14ac:dyDescent="0.25">
      <c r="A71" s="3" t="s">
        <v>1423</v>
      </c>
      <c r="B71" s="3"/>
      <c r="C71" s="10"/>
      <c r="D71" s="12"/>
      <c r="E71" s="10">
        <v>-7657.7569999999996</v>
      </c>
      <c r="F71" s="9"/>
      <c r="G71" s="9"/>
      <c r="H71" s="10">
        <v>-7657.7569999999996</v>
      </c>
      <c r="K71" s="10">
        <v>0</v>
      </c>
      <c r="N71" s="10">
        <v>0</v>
      </c>
    </row>
    <row r="72" spans="1:14" ht="15" x14ac:dyDescent="0.25">
      <c r="A72" s="3" t="s">
        <v>1435</v>
      </c>
      <c r="B72" s="3"/>
      <c r="C72" s="10"/>
      <c r="D72" s="12"/>
      <c r="E72" s="10">
        <v>-37389.714</v>
      </c>
      <c r="H72" s="10">
        <v>-37389.714</v>
      </c>
      <c r="K72" s="10">
        <v>0</v>
      </c>
      <c r="N72" s="10">
        <v>0</v>
      </c>
    </row>
    <row r="73" spans="1:14" ht="15" x14ac:dyDescent="0.25">
      <c r="A73" s="3"/>
      <c r="B73" s="3"/>
      <c r="C73" s="18"/>
      <c r="D73" s="18"/>
      <c r="E73" s="18"/>
      <c r="H73" s="18"/>
      <c r="K73" s="18"/>
      <c r="N73" s="18"/>
    </row>
    <row r="74" spans="1:14" ht="15" x14ac:dyDescent="0.25">
      <c r="A74" s="3"/>
      <c r="B74" s="3"/>
      <c r="C74" s="10"/>
      <c r="D74" s="12"/>
      <c r="E74" s="10"/>
      <c r="H74" s="10"/>
      <c r="K74" s="10"/>
      <c r="N74" s="10"/>
    </row>
    <row r="75" spans="1:14" ht="15" x14ac:dyDescent="0.25">
      <c r="A75" s="3"/>
      <c r="B75" s="3"/>
      <c r="C75" s="3"/>
      <c r="D75" s="3"/>
      <c r="E75" s="3"/>
      <c r="H75" s="3"/>
      <c r="K75" s="3"/>
      <c r="N75" s="3"/>
    </row>
    <row r="76" spans="1:14" ht="15" x14ac:dyDescent="0.25">
      <c r="A76" s="393" t="s">
        <v>49</v>
      </c>
      <c r="B76" s="125"/>
      <c r="C76" s="19">
        <f>C79-C78</f>
        <v>-1797.5868</v>
      </c>
      <c r="D76" s="19"/>
      <c r="E76" s="19">
        <f>E79-E78</f>
        <v>1914.9610300000004</v>
      </c>
      <c r="H76" s="19">
        <f>H79-H78</f>
        <v>5020.4404599999998</v>
      </c>
      <c r="K76" s="19">
        <f>K79-K78</f>
        <v>122.97194999999988</v>
      </c>
      <c r="N76" s="19">
        <f>N79-N78</f>
        <v>-1674.6148499999997</v>
      </c>
    </row>
    <row r="77" spans="1:14" ht="15" x14ac:dyDescent="0.25">
      <c r="A77" s="370"/>
      <c r="C77" s="3"/>
      <c r="D77" s="3"/>
      <c r="E77" s="3"/>
      <c r="H77" s="3"/>
      <c r="K77" s="3"/>
      <c r="N77" s="3"/>
    </row>
    <row r="78" spans="1:14" ht="15" x14ac:dyDescent="0.25">
      <c r="A78" s="3" t="s">
        <v>50</v>
      </c>
      <c r="B78" s="3"/>
      <c r="C78" s="10">
        <v>3648.9640300000001</v>
      </c>
      <c r="D78" s="11"/>
      <c r="E78" s="11">
        <v>6432.4195999999993</v>
      </c>
      <c r="H78" s="11">
        <v>3326.9401699999999</v>
      </c>
      <c r="K78" s="11">
        <v>1851.3772300000001</v>
      </c>
      <c r="N78" s="11">
        <v>3648.9640299999996</v>
      </c>
    </row>
    <row r="79" spans="1:14" ht="15" x14ac:dyDescent="0.25">
      <c r="A79" s="3" t="s">
        <v>51</v>
      </c>
      <c r="B79" s="3"/>
      <c r="C79" s="11">
        <v>1851.3772300000001</v>
      </c>
      <c r="D79" s="11"/>
      <c r="E79" s="11">
        <v>8347.3806299999997</v>
      </c>
      <c r="H79" s="11">
        <v>8347.3806299999997</v>
      </c>
      <c r="K79" s="11">
        <v>1974.3491799999999</v>
      </c>
      <c r="N79" s="11">
        <v>1974.3491799999999</v>
      </c>
    </row>
    <row r="80" spans="1:14" ht="15" x14ac:dyDescent="0.25">
      <c r="A80" s="3"/>
      <c r="B80" s="3"/>
      <c r="C80" s="3"/>
      <c r="D80" s="3"/>
      <c r="E80" s="3"/>
      <c r="H80" s="3"/>
      <c r="K80" s="3"/>
      <c r="N80" s="3"/>
    </row>
    <row r="81" spans="1:14" ht="15" x14ac:dyDescent="0.25">
      <c r="A81" s="7" t="s">
        <v>52</v>
      </c>
      <c r="B81" s="7"/>
      <c r="C81" s="21">
        <f>C67+C57+C16</f>
        <v>-1797.5868000000103</v>
      </c>
      <c r="D81" s="21"/>
      <c r="E81" s="21">
        <f>E67+E57+E16</f>
        <v>1914.9610300000058</v>
      </c>
      <c r="H81" s="21">
        <f>H67+H57+H16</f>
        <v>5020.440459999998</v>
      </c>
      <c r="K81" s="21">
        <f>K67+K57+K16</f>
        <v>122.97194999999374</v>
      </c>
      <c r="N81" s="21">
        <f>N67+N57+N16</f>
        <v>-1674.6148500000031</v>
      </c>
    </row>
    <row r="82" spans="1:14" ht="15" x14ac:dyDescent="0.25">
      <c r="A82" s="3"/>
      <c r="B82" s="3"/>
      <c r="C82" s="3"/>
      <c r="D82" s="3"/>
      <c r="H82" s="3"/>
      <c r="K82" s="3"/>
      <c r="N82" s="3"/>
    </row>
    <row r="83" spans="1:14" ht="15" x14ac:dyDescent="0.25">
      <c r="A83" s="3"/>
      <c r="B83" s="3"/>
      <c r="C83" s="22"/>
      <c r="D83" s="22"/>
      <c r="E83" s="22"/>
      <c r="H83" s="22"/>
      <c r="K83" s="22"/>
      <c r="N83" s="22"/>
    </row>
    <row r="84" spans="1:14" ht="15" x14ac:dyDescent="0.25">
      <c r="A84" s="3"/>
      <c r="B84" s="3"/>
      <c r="C84" s="3"/>
      <c r="D84" s="3"/>
      <c r="H84" s="3"/>
      <c r="K84" s="3"/>
    </row>
    <row r="85" spans="1:14" ht="15" x14ac:dyDescent="0.25">
      <c r="A85" s="3"/>
      <c r="B85" s="3"/>
      <c r="C85" s="3"/>
      <c r="D85" s="3"/>
      <c r="H85" s="3"/>
      <c r="K85" s="3"/>
    </row>
    <row r="86" spans="1:14" ht="15" x14ac:dyDescent="0.25">
      <c r="A86" s="394" t="s">
        <v>53</v>
      </c>
      <c r="B86" s="394"/>
      <c r="C86" s="394"/>
      <c r="D86" s="394"/>
      <c r="E86" s="394"/>
      <c r="F86" s="394"/>
      <c r="G86" s="394"/>
      <c r="H86" s="394"/>
      <c r="I86" s="394"/>
      <c r="J86" s="394"/>
      <c r="K86" s="394"/>
      <c r="L86" s="394"/>
      <c r="M86" s="394"/>
      <c r="N86" s="394"/>
    </row>
    <row r="90" spans="1:14" x14ac:dyDescent="0.2">
      <c r="H90" s="32"/>
      <c r="K90" s="32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10</vt:i4>
      </vt:variant>
    </vt:vector>
  </HeadingPairs>
  <TitlesOfParts>
    <vt:vector size="33" baseType="lpstr">
      <vt:lpstr>Página1</vt:lpstr>
      <vt:lpstr>ACUMULADO 2019</vt:lpstr>
      <vt:lpstr>Página1 (3)</vt:lpstr>
      <vt:lpstr>ATIVO</vt:lpstr>
      <vt:lpstr>PASSIVO </vt:lpstr>
      <vt:lpstr>ACUM 2019</vt:lpstr>
      <vt:lpstr>DRE</vt:lpstr>
      <vt:lpstr>DRE REAPRESENTAÇÃO 2019</vt:lpstr>
      <vt:lpstr>DFC</vt:lpstr>
      <vt:lpstr>Página1 (2)</vt:lpstr>
      <vt:lpstr>ACUMULADO 2020</vt:lpstr>
      <vt:lpstr>DFC REAPRESENTAÇÃO 2019</vt:lpstr>
      <vt:lpstr>ACUM 2019 (2)</vt:lpstr>
      <vt:lpstr>DMPL20</vt:lpstr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ATIVO!Area_de_impressao</vt:lpstr>
      <vt:lpstr>DFC!Area_de_impressao</vt:lpstr>
      <vt:lpstr>'DFC REAPRESENTAÇÃO 2019'!Area_de_impressao</vt:lpstr>
      <vt:lpstr>DMPL20!Area_de_impressao</vt:lpstr>
      <vt:lpstr>DRE!Area_de_impressao</vt:lpstr>
      <vt:lpstr>'DRE REAPRESENTAÇÃO 2019'!Area_de_impressao</vt:lpstr>
      <vt:lpstr>'PASSIVO '!Area_de_impressao</vt:lpstr>
      <vt:lpstr>Plan2!OLE_LINK1</vt:lpstr>
      <vt:lpstr>ATIVO!Titulos_de_impressao</vt:lpstr>
      <vt:lpstr>'PASSIVO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Nilane Menezes</cp:lastModifiedBy>
  <cp:lastPrinted>2021-01-13T18:20:07Z</cp:lastPrinted>
  <dcterms:created xsi:type="dcterms:W3CDTF">2020-09-19T01:22:08Z</dcterms:created>
  <dcterms:modified xsi:type="dcterms:W3CDTF">2022-01-24T19:25:20Z</dcterms:modified>
</cp:coreProperties>
</file>